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vila\Desktop\"/>
    </mc:Choice>
  </mc:AlternateContent>
  <bookViews>
    <workbookView xWindow="0" yWindow="0" windowWidth="20490" windowHeight="7155"/>
  </bookViews>
  <sheets>
    <sheet name="Permbledhese" sheetId="2" r:id="rId1"/>
    <sheet name="Janar 2020" sheetId="1" r:id="rId2"/>
    <sheet name="Shkurt 2020" sheetId="3" r:id="rId3"/>
    <sheet name="Mars 2020" sheetId="4" r:id="rId4"/>
    <sheet name="Prill 2020" sheetId="5" r:id="rId5"/>
    <sheet name="Maj 2020" sheetId="6" r:id="rId6"/>
    <sheet name="Qershor 2020" sheetId="7" r:id="rId7"/>
    <sheet name="Korrik 2020" sheetId="8" r:id="rId8"/>
    <sheet name="Gusht 2020" sheetId="9" r:id="rId9"/>
    <sheet name="Shtator 2020" sheetId="10" r:id="rId10"/>
    <sheet name="Tetor 2020" sheetId="11" r:id="rId11"/>
    <sheet name="Nentor 2020" sheetId="12" r:id="rId12"/>
    <sheet name="Dhjetor 2020" sheetId="13" r:id="rId13"/>
  </sheets>
  <calcPr calcId="152511"/>
</workbook>
</file>

<file path=xl/calcChain.xml><?xml version="1.0" encoding="utf-8"?>
<calcChain xmlns="http://schemas.openxmlformats.org/spreadsheetml/2006/main">
  <c r="Y17" i="2" l="1"/>
  <c r="Y16" i="2"/>
  <c r="Y18" i="2" s="1"/>
  <c r="Y15" i="2"/>
  <c r="Y14" i="2"/>
  <c r="Y13" i="2"/>
  <c r="Y12" i="2"/>
  <c r="Y11" i="2"/>
  <c r="Y10" i="2"/>
  <c r="Y9" i="2"/>
  <c r="Y8" i="2"/>
  <c r="Y7" i="2"/>
  <c r="Y6" i="2"/>
  <c r="Y5" i="2"/>
  <c r="Y4" i="2"/>
  <c r="W17" i="2"/>
  <c r="W16" i="2"/>
  <c r="W18" i="2" s="1"/>
  <c r="W15" i="2"/>
  <c r="W14" i="2"/>
  <c r="W13" i="2"/>
  <c r="W12" i="2"/>
  <c r="W11" i="2"/>
  <c r="W10" i="2"/>
  <c r="W9" i="2"/>
  <c r="W8" i="2"/>
  <c r="W7" i="2"/>
  <c r="W6" i="2"/>
  <c r="W5" i="2"/>
  <c r="W4" i="2"/>
  <c r="U17" i="2"/>
  <c r="U16" i="2"/>
  <c r="U18" i="2" s="1"/>
  <c r="U15" i="2"/>
  <c r="U14" i="2"/>
  <c r="U13" i="2"/>
  <c r="U12" i="2"/>
  <c r="U11" i="2"/>
  <c r="U10" i="2"/>
  <c r="U9" i="2"/>
  <c r="U8" i="2"/>
  <c r="U7" i="2"/>
  <c r="U6" i="2"/>
  <c r="U5" i="2"/>
  <c r="U4" i="2"/>
  <c r="S17" i="2"/>
  <c r="S16" i="2"/>
  <c r="S18" i="2" s="1"/>
  <c r="S15" i="2"/>
  <c r="S14" i="2"/>
  <c r="S13" i="2"/>
  <c r="S12" i="2"/>
  <c r="S11" i="2"/>
  <c r="S10" i="2"/>
  <c r="S9" i="2"/>
  <c r="S8" i="2"/>
  <c r="S7" i="2"/>
  <c r="S6" i="2"/>
  <c r="S5" i="2"/>
  <c r="S4" i="2"/>
  <c r="Q17" i="2"/>
  <c r="Q16" i="2"/>
  <c r="Q18" i="2" s="1"/>
  <c r="Q15" i="2"/>
  <c r="Q14" i="2"/>
  <c r="Q13" i="2"/>
  <c r="Q12" i="2"/>
  <c r="Q11" i="2"/>
  <c r="Q10" i="2"/>
  <c r="Q9" i="2"/>
  <c r="Q8" i="2"/>
  <c r="Q7" i="2"/>
  <c r="Q6" i="2"/>
  <c r="Q5" i="2"/>
  <c r="Q4" i="2"/>
  <c r="O17" i="2"/>
  <c r="O16" i="2"/>
  <c r="O18" i="2" s="1"/>
  <c r="O15" i="2"/>
  <c r="O14" i="2"/>
  <c r="O13" i="2"/>
  <c r="O12" i="2"/>
  <c r="O11" i="2"/>
  <c r="O10" i="2"/>
  <c r="O9" i="2"/>
  <c r="O8" i="2"/>
  <c r="O7" i="2"/>
  <c r="O6" i="2"/>
  <c r="O5" i="2"/>
  <c r="O4" i="2"/>
  <c r="M17" i="2"/>
  <c r="M16" i="2"/>
  <c r="M18" i="2" s="1"/>
  <c r="M15" i="2"/>
  <c r="M14" i="2"/>
  <c r="M13" i="2"/>
  <c r="M12" i="2"/>
  <c r="M11" i="2"/>
  <c r="M10" i="2"/>
  <c r="M9" i="2"/>
  <c r="M8" i="2"/>
  <c r="M7" i="2"/>
  <c r="M6" i="2"/>
  <c r="M5" i="2"/>
  <c r="M4" i="2"/>
  <c r="K17" i="2"/>
  <c r="K16" i="2"/>
  <c r="K18" i="2" s="1"/>
  <c r="K15" i="2"/>
  <c r="K14" i="2"/>
  <c r="K13" i="2"/>
  <c r="K12" i="2"/>
  <c r="K11" i="2"/>
  <c r="K10" i="2"/>
  <c r="K9" i="2"/>
  <c r="K8" i="2"/>
  <c r="K7" i="2"/>
  <c r="K6" i="2"/>
  <c r="K5" i="2"/>
  <c r="K4" i="2"/>
  <c r="I17" i="2"/>
  <c r="I16" i="2"/>
  <c r="I18" i="2" s="1"/>
  <c r="I15" i="2"/>
  <c r="I14" i="2"/>
  <c r="I13" i="2"/>
  <c r="I12" i="2"/>
  <c r="I11" i="2"/>
  <c r="I10" i="2"/>
  <c r="I9" i="2"/>
  <c r="I8" i="2"/>
  <c r="I7" i="2"/>
  <c r="I6" i="2"/>
  <c r="I5" i="2"/>
  <c r="I4" i="2"/>
  <c r="G17" i="2"/>
  <c r="G16" i="2"/>
  <c r="G18" i="2" s="1"/>
  <c r="G15" i="2"/>
  <c r="G14" i="2"/>
  <c r="G13" i="2"/>
  <c r="G12" i="2"/>
  <c r="G11" i="2"/>
  <c r="G10" i="2"/>
  <c r="G9" i="2"/>
  <c r="G8" i="2"/>
  <c r="G7" i="2"/>
  <c r="G6" i="2"/>
  <c r="G5" i="2"/>
  <c r="G4" i="2"/>
  <c r="X18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V18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T18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R18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P18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N18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L18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J18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H18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17" i="2" s="1"/>
  <c r="F18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D18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59" i="13"/>
  <c r="C59" i="13"/>
  <c r="E58" i="13"/>
  <c r="E57" i="13"/>
  <c r="E56" i="13"/>
  <c r="E55" i="13"/>
  <c r="E54" i="13"/>
  <c r="E59" i="13" s="1"/>
  <c r="J52" i="13"/>
  <c r="I52" i="13"/>
  <c r="H52" i="13"/>
  <c r="J51" i="13"/>
  <c r="D51" i="13"/>
  <c r="C51" i="13"/>
  <c r="J50" i="13"/>
  <c r="E50" i="13"/>
  <c r="J49" i="13"/>
  <c r="E49" i="13"/>
  <c r="J48" i="13"/>
  <c r="E48" i="13"/>
  <c r="E47" i="13"/>
  <c r="E46" i="13"/>
  <c r="E51" i="13" s="1"/>
  <c r="I45" i="13"/>
  <c r="H45" i="13"/>
  <c r="J44" i="13"/>
  <c r="J43" i="13"/>
  <c r="D43" i="13"/>
  <c r="C43" i="13"/>
  <c r="J42" i="13"/>
  <c r="J45" i="13" s="1"/>
  <c r="E42" i="13"/>
  <c r="E41" i="13"/>
  <c r="E40" i="13"/>
  <c r="E43" i="13" s="1"/>
  <c r="I39" i="13"/>
  <c r="H39" i="13"/>
  <c r="J38" i="13"/>
  <c r="J37" i="13"/>
  <c r="D37" i="13"/>
  <c r="C37" i="13"/>
  <c r="J36" i="13"/>
  <c r="J39" i="13" s="1"/>
  <c r="E36" i="13"/>
  <c r="E35" i="13"/>
  <c r="E34" i="13"/>
  <c r="E37" i="13" s="1"/>
  <c r="I33" i="13"/>
  <c r="H33" i="13"/>
  <c r="J32" i="13"/>
  <c r="J31" i="13"/>
  <c r="D31" i="13"/>
  <c r="C31" i="13"/>
  <c r="J30" i="13"/>
  <c r="E30" i="13"/>
  <c r="J29" i="13"/>
  <c r="J33" i="13" s="1"/>
  <c r="E29" i="13"/>
  <c r="E28" i="13"/>
  <c r="E27" i="13"/>
  <c r="I26" i="13"/>
  <c r="H26" i="13"/>
  <c r="E26" i="13"/>
  <c r="J25" i="13"/>
  <c r="E25" i="13"/>
  <c r="J24" i="13"/>
  <c r="E24" i="13"/>
  <c r="E31" i="13" s="1"/>
  <c r="J23" i="13"/>
  <c r="J22" i="13"/>
  <c r="J21" i="13"/>
  <c r="D21" i="13"/>
  <c r="J56" i="13" s="1"/>
  <c r="J6" i="13" s="1"/>
  <c r="C21" i="13"/>
  <c r="J54" i="13" s="1"/>
  <c r="J58" i="13" s="1"/>
  <c r="J20" i="13"/>
  <c r="J26" i="13" s="1"/>
  <c r="E20" i="13"/>
  <c r="E19" i="13"/>
  <c r="E18" i="13"/>
  <c r="I17" i="13"/>
  <c r="H17" i="13"/>
  <c r="E17" i="13"/>
  <c r="J16" i="13"/>
  <c r="E16" i="13"/>
  <c r="J15" i="13"/>
  <c r="E15" i="13"/>
  <c r="J14" i="13"/>
  <c r="E14" i="13"/>
  <c r="J13" i="13"/>
  <c r="E13" i="13"/>
  <c r="J12" i="13"/>
  <c r="J17" i="13" s="1"/>
  <c r="E12" i="13"/>
  <c r="E21" i="13" s="1"/>
  <c r="E9" i="13"/>
  <c r="E6" i="13"/>
  <c r="D59" i="12"/>
  <c r="C59" i="12"/>
  <c r="E58" i="12"/>
  <c r="E57" i="12"/>
  <c r="E56" i="12"/>
  <c r="E55" i="12"/>
  <c r="E54" i="12"/>
  <c r="E59" i="12" s="1"/>
  <c r="J52" i="12"/>
  <c r="I52" i="12"/>
  <c r="H52" i="12"/>
  <c r="J51" i="12"/>
  <c r="D51" i="12"/>
  <c r="C51" i="12"/>
  <c r="J50" i="12"/>
  <c r="E50" i="12"/>
  <c r="J49" i="12"/>
  <c r="E49" i="12"/>
  <c r="J48" i="12"/>
  <c r="E48" i="12"/>
  <c r="E47" i="12"/>
  <c r="E46" i="12"/>
  <c r="E51" i="12" s="1"/>
  <c r="I45" i="12"/>
  <c r="H45" i="12"/>
  <c r="J44" i="12"/>
  <c r="J43" i="12"/>
  <c r="D43" i="12"/>
  <c r="C43" i="12"/>
  <c r="J42" i="12"/>
  <c r="J45" i="12" s="1"/>
  <c r="E42" i="12"/>
  <c r="E41" i="12"/>
  <c r="E40" i="12"/>
  <c r="E43" i="12" s="1"/>
  <c r="I39" i="12"/>
  <c r="H39" i="12"/>
  <c r="J38" i="12"/>
  <c r="J37" i="12"/>
  <c r="D37" i="12"/>
  <c r="C37" i="12"/>
  <c r="J36" i="12"/>
  <c r="J39" i="12" s="1"/>
  <c r="E36" i="12"/>
  <c r="E35" i="12"/>
  <c r="E34" i="12"/>
  <c r="E37" i="12" s="1"/>
  <c r="I33" i="12"/>
  <c r="H33" i="12"/>
  <c r="J32" i="12"/>
  <c r="J31" i="12"/>
  <c r="D31" i="12"/>
  <c r="C31" i="12"/>
  <c r="J30" i="12"/>
  <c r="E30" i="12"/>
  <c r="J29" i="12"/>
  <c r="J33" i="12" s="1"/>
  <c r="E29" i="12"/>
  <c r="E28" i="12"/>
  <c r="E27" i="12"/>
  <c r="I26" i="12"/>
  <c r="H26" i="12"/>
  <c r="E26" i="12"/>
  <c r="J25" i="12"/>
  <c r="E25" i="12"/>
  <c r="J24" i="12"/>
  <c r="E24" i="12"/>
  <c r="E31" i="12" s="1"/>
  <c r="J23" i="12"/>
  <c r="J22" i="12"/>
  <c r="J21" i="12"/>
  <c r="D21" i="12"/>
  <c r="J56" i="12" s="1"/>
  <c r="J6" i="12" s="1"/>
  <c r="C21" i="12"/>
  <c r="J54" i="12" s="1"/>
  <c r="J20" i="12"/>
  <c r="J26" i="12" s="1"/>
  <c r="E20" i="12"/>
  <c r="E19" i="12"/>
  <c r="E18" i="12"/>
  <c r="I17" i="12"/>
  <c r="H17" i="12"/>
  <c r="E17" i="12"/>
  <c r="J16" i="12"/>
  <c r="E16" i="12"/>
  <c r="J15" i="12"/>
  <c r="E15" i="12"/>
  <c r="J14" i="12"/>
  <c r="E14" i="12"/>
  <c r="J13" i="12"/>
  <c r="E13" i="12"/>
  <c r="J12" i="12"/>
  <c r="J17" i="12" s="1"/>
  <c r="E12" i="12"/>
  <c r="E21" i="12" s="1"/>
  <c r="E9" i="12"/>
  <c r="E6" i="12"/>
  <c r="J4" i="12" s="1"/>
  <c r="D59" i="11"/>
  <c r="C59" i="11"/>
  <c r="E58" i="11"/>
  <c r="E57" i="11"/>
  <c r="E56" i="11"/>
  <c r="E55" i="11"/>
  <c r="E54" i="11"/>
  <c r="E59" i="11" s="1"/>
  <c r="J52" i="11"/>
  <c r="I52" i="11"/>
  <c r="H52" i="11"/>
  <c r="J51" i="11"/>
  <c r="D51" i="11"/>
  <c r="C51" i="11"/>
  <c r="J50" i="11"/>
  <c r="E50" i="11"/>
  <c r="J49" i="11"/>
  <c r="E49" i="11"/>
  <c r="J48" i="11"/>
  <c r="E48" i="11"/>
  <c r="E47" i="11"/>
  <c r="E46" i="11"/>
  <c r="E51" i="11" s="1"/>
  <c r="I45" i="11"/>
  <c r="H45" i="11"/>
  <c r="J44" i="11"/>
  <c r="J43" i="11"/>
  <c r="D43" i="11"/>
  <c r="C43" i="11"/>
  <c r="J42" i="11"/>
  <c r="J45" i="11" s="1"/>
  <c r="E42" i="11"/>
  <c r="E41" i="11"/>
  <c r="E40" i="11"/>
  <c r="E43" i="11" s="1"/>
  <c r="I39" i="11"/>
  <c r="H39" i="11"/>
  <c r="J38" i="11"/>
  <c r="J37" i="11"/>
  <c r="D37" i="11"/>
  <c r="C37" i="11"/>
  <c r="J36" i="11"/>
  <c r="J39" i="11" s="1"/>
  <c r="E36" i="11"/>
  <c r="E35" i="11"/>
  <c r="E34" i="11"/>
  <c r="E37" i="11" s="1"/>
  <c r="I33" i="11"/>
  <c r="H33" i="11"/>
  <c r="J32" i="11"/>
  <c r="J31" i="11"/>
  <c r="D31" i="11"/>
  <c r="C31" i="11"/>
  <c r="J30" i="11"/>
  <c r="E30" i="11"/>
  <c r="J29" i="11"/>
  <c r="J33" i="11" s="1"/>
  <c r="E29" i="11"/>
  <c r="E28" i="11"/>
  <c r="E27" i="11"/>
  <c r="I26" i="11"/>
  <c r="H26" i="11"/>
  <c r="E26" i="11"/>
  <c r="J25" i="11"/>
  <c r="E25" i="11"/>
  <c r="J24" i="11"/>
  <c r="E24" i="11"/>
  <c r="E31" i="11" s="1"/>
  <c r="J23" i="11"/>
  <c r="J22" i="11"/>
  <c r="J21" i="11"/>
  <c r="D21" i="11"/>
  <c r="J56" i="11" s="1"/>
  <c r="J6" i="11" s="1"/>
  <c r="C21" i="11"/>
  <c r="J54" i="11" s="1"/>
  <c r="J58" i="11" s="1"/>
  <c r="J20" i="11"/>
  <c r="J26" i="11" s="1"/>
  <c r="E20" i="11"/>
  <c r="E19" i="11"/>
  <c r="E18" i="11"/>
  <c r="I17" i="11"/>
  <c r="H17" i="11"/>
  <c r="E17" i="11"/>
  <c r="J16" i="11"/>
  <c r="E16" i="11"/>
  <c r="J15" i="11"/>
  <c r="E15" i="11"/>
  <c r="J14" i="11"/>
  <c r="E14" i="11"/>
  <c r="J13" i="11"/>
  <c r="E13" i="11"/>
  <c r="J12" i="11"/>
  <c r="J17" i="11" s="1"/>
  <c r="E12" i="11"/>
  <c r="E21" i="11" s="1"/>
  <c r="E9" i="11"/>
  <c r="E6" i="11"/>
  <c r="D59" i="10"/>
  <c r="C59" i="10"/>
  <c r="E58" i="10"/>
  <c r="E57" i="10"/>
  <c r="E56" i="10"/>
  <c r="E55" i="10"/>
  <c r="E54" i="10"/>
  <c r="E59" i="10" s="1"/>
  <c r="I52" i="10"/>
  <c r="H52" i="10"/>
  <c r="J51" i="10"/>
  <c r="D51" i="10"/>
  <c r="C51" i="10"/>
  <c r="J50" i="10"/>
  <c r="E50" i="10"/>
  <c r="J49" i="10"/>
  <c r="E49" i="10"/>
  <c r="J48" i="10"/>
  <c r="J52" i="10" s="1"/>
  <c r="E48" i="10"/>
  <c r="E47" i="10"/>
  <c r="E46" i="10"/>
  <c r="E51" i="10" s="1"/>
  <c r="I45" i="10"/>
  <c r="H45" i="10"/>
  <c r="J44" i="10"/>
  <c r="J43" i="10"/>
  <c r="D43" i="10"/>
  <c r="C43" i="10"/>
  <c r="J42" i="10"/>
  <c r="J45" i="10" s="1"/>
  <c r="E42" i="10"/>
  <c r="E41" i="10"/>
  <c r="E40" i="10"/>
  <c r="E43" i="10" s="1"/>
  <c r="I39" i="10"/>
  <c r="H39" i="10"/>
  <c r="J38" i="10"/>
  <c r="J37" i="10"/>
  <c r="D37" i="10"/>
  <c r="C37" i="10"/>
  <c r="J36" i="10"/>
  <c r="J39" i="10" s="1"/>
  <c r="E36" i="10"/>
  <c r="E35" i="10"/>
  <c r="E34" i="10"/>
  <c r="E37" i="10" s="1"/>
  <c r="I33" i="10"/>
  <c r="H33" i="10"/>
  <c r="J32" i="10"/>
  <c r="J31" i="10"/>
  <c r="D31" i="10"/>
  <c r="C31" i="10"/>
  <c r="J30" i="10"/>
  <c r="E30" i="10"/>
  <c r="J29" i="10"/>
  <c r="J33" i="10" s="1"/>
  <c r="E29" i="10"/>
  <c r="E28" i="10"/>
  <c r="E27" i="10"/>
  <c r="I26" i="10"/>
  <c r="H26" i="10"/>
  <c r="E26" i="10"/>
  <c r="J25" i="10"/>
  <c r="E25" i="10"/>
  <c r="J24" i="10"/>
  <c r="E24" i="10"/>
  <c r="E31" i="10" s="1"/>
  <c r="J23" i="10"/>
  <c r="J22" i="10"/>
  <c r="J21" i="10"/>
  <c r="D21" i="10"/>
  <c r="J56" i="10" s="1"/>
  <c r="J6" i="10" s="1"/>
  <c r="C21" i="10"/>
  <c r="J54" i="10" s="1"/>
  <c r="J20" i="10"/>
  <c r="J26" i="10" s="1"/>
  <c r="E20" i="10"/>
  <c r="E19" i="10"/>
  <c r="E18" i="10"/>
  <c r="I17" i="10"/>
  <c r="H17" i="10"/>
  <c r="E17" i="10"/>
  <c r="J16" i="10"/>
  <c r="E16" i="10"/>
  <c r="J15" i="10"/>
  <c r="E15" i="10"/>
  <c r="J14" i="10"/>
  <c r="E14" i="10"/>
  <c r="J13" i="10"/>
  <c r="E13" i="10"/>
  <c r="J12" i="10"/>
  <c r="J17" i="10" s="1"/>
  <c r="E12" i="10"/>
  <c r="E21" i="10" s="1"/>
  <c r="E9" i="10"/>
  <c r="E6" i="10"/>
  <c r="J4" i="10" s="1"/>
  <c r="D59" i="9"/>
  <c r="C59" i="9"/>
  <c r="E58" i="9"/>
  <c r="E57" i="9"/>
  <c r="E56" i="9"/>
  <c r="E55" i="9"/>
  <c r="E54" i="9"/>
  <c r="E59" i="9" s="1"/>
  <c r="J52" i="9"/>
  <c r="I52" i="9"/>
  <c r="H52" i="9"/>
  <c r="J51" i="9"/>
  <c r="D51" i="9"/>
  <c r="C51" i="9"/>
  <c r="J50" i="9"/>
  <c r="E50" i="9"/>
  <c r="J49" i="9"/>
  <c r="E49" i="9"/>
  <c r="J48" i="9"/>
  <c r="E48" i="9"/>
  <c r="E47" i="9"/>
  <c r="E46" i="9"/>
  <c r="E51" i="9" s="1"/>
  <c r="I45" i="9"/>
  <c r="H45" i="9"/>
  <c r="J44" i="9"/>
  <c r="J43" i="9"/>
  <c r="D43" i="9"/>
  <c r="C43" i="9"/>
  <c r="J42" i="9"/>
  <c r="J45" i="9" s="1"/>
  <c r="E42" i="9"/>
  <c r="E41" i="9"/>
  <c r="E40" i="9"/>
  <c r="E43" i="9" s="1"/>
  <c r="I39" i="9"/>
  <c r="H39" i="9"/>
  <c r="J38" i="9"/>
  <c r="J37" i="9"/>
  <c r="D37" i="9"/>
  <c r="C37" i="9"/>
  <c r="J36" i="9"/>
  <c r="J39" i="9" s="1"/>
  <c r="E36" i="9"/>
  <c r="E35" i="9"/>
  <c r="E34" i="9"/>
  <c r="E37" i="9" s="1"/>
  <c r="I33" i="9"/>
  <c r="H33" i="9"/>
  <c r="J32" i="9"/>
  <c r="J31" i="9"/>
  <c r="D31" i="9"/>
  <c r="C31" i="9"/>
  <c r="J30" i="9"/>
  <c r="E30" i="9"/>
  <c r="J29" i="9"/>
  <c r="J33" i="9" s="1"/>
  <c r="E29" i="9"/>
  <c r="E28" i="9"/>
  <c r="E27" i="9"/>
  <c r="I26" i="9"/>
  <c r="H26" i="9"/>
  <c r="E26" i="9"/>
  <c r="J25" i="9"/>
  <c r="E25" i="9"/>
  <c r="J24" i="9"/>
  <c r="E24" i="9"/>
  <c r="E31" i="9" s="1"/>
  <c r="J23" i="9"/>
  <c r="J22" i="9"/>
  <c r="J21" i="9"/>
  <c r="D21" i="9"/>
  <c r="J56" i="9" s="1"/>
  <c r="J6" i="9" s="1"/>
  <c r="C21" i="9"/>
  <c r="J54" i="9" s="1"/>
  <c r="J20" i="9"/>
  <c r="J26" i="9" s="1"/>
  <c r="E20" i="9"/>
  <c r="E19" i="9"/>
  <c r="E18" i="9"/>
  <c r="I17" i="9"/>
  <c r="H17" i="9"/>
  <c r="E17" i="9"/>
  <c r="J16" i="9"/>
  <c r="E16" i="9"/>
  <c r="J15" i="9"/>
  <c r="E15" i="9"/>
  <c r="J14" i="9"/>
  <c r="E14" i="9"/>
  <c r="J13" i="9"/>
  <c r="E13" i="9"/>
  <c r="J12" i="9"/>
  <c r="J17" i="9" s="1"/>
  <c r="E12" i="9"/>
  <c r="E21" i="9" s="1"/>
  <c r="E9" i="9"/>
  <c r="E6" i="9"/>
  <c r="J4" i="9" s="1"/>
  <c r="D59" i="8"/>
  <c r="C59" i="8"/>
  <c r="E58" i="8"/>
  <c r="E57" i="8"/>
  <c r="E56" i="8"/>
  <c r="E55" i="8"/>
  <c r="E54" i="8"/>
  <c r="E59" i="8" s="1"/>
  <c r="J52" i="8"/>
  <c r="I52" i="8"/>
  <c r="H52" i="8"/>
  <c r="J51" i="8"/>
  <c r="D51" i="8"/>
  <c r="C51" i="8"/>
  <c r="J50" i="8"/>
  <c r="E50" i="8"/>
  <c r="J49" i="8"/>
  <c r="E49" i="8"/>
  <c r="J48" i="8"/>
  <c r="E48" i="8"/>
  <c r="E47" i="8"/>
  <c r="E46" i="8"/>
  <c r="E51" i="8" s="1"/>
  <c r="I45" i="8"/>
  <c r="H45" i="8"/>
  <c r="J44" i="8"/>
  <c r="J43" i="8"/>
  <c r="D43" i="8"/>
  <c r="C43" i="8"/>
  <c r="J42" i="8"/>
  <c r="J45" i="8" s="1"/>
  <c r="E42" i="8"/>
  <c r="E41" i="8"/>
  <c r="E40" i="8"/>
  <c r="E43" i="8" s="1"/>
  <c r="I39" i="8"/>
  <c r="H39" i="8"/>
  <c r="J38" i="8"/>
  <c r="J37" i="8"/>
  <c r="D37" i="8"/>
  <c r="C37" i="8"/>
  <c r="J36" i="8"/>
  <c r="J39" i="8" s="1"/>
  <c r="E36" i="8"/>
  <c r="E35" i="8"/>
  <c r="E34" i="8"/>
  <c r="E37" i="8" s="1"/>
  <c r="I33" i="8"/>
  <c r="H33" i="8"/>
  <c r="J32" i="8"/>
  <c r="J31" i="8"/>
  <c r="D31" i="8"/>
  <c r="C31" i="8"/>
  <c r="J30" i="8"/>
  <c r="E30" i="8"/>
  <c r="J29" i="8"/>
  <c r="J33" i="8" s="1"/>
  <c r="E29" i="8"/>
  <c r="E28" i="8"/>
  <c r="E27" i="8"/>
  <c r="I26" i="8"/>
  <c r="H26" i="8"/>
  <c r="E26" i="8"/>
  <c r="J25" i="8"/>
  <c r="E25" i="8"/>
  <c r="J24" i="8"/>
  <c r="E24" i="8"/>
  <c r="E31" i="8" s="1"/>
  <c r="J23" i="8"/>
  <c r="J22" i="8"/>
  <c r="J21" i="8"/>
  <c r="D21" i="8"/>
  <c r="J56" i="8" s="1"/>
  <c r="J6" i="8" s="1"/>
  <c r="C21" i="8"/>
  <c r="J54" i="8" s="1"/>
  <c r="J20" i="8"/>
  <c r="J26" i="8" s="1"/>
  <c r="E20" i="8"/>
  <c r="E19" i="8"/>
  <c r="E18" i="8"/>
  <c r="I17" i="8"/>
  <c r="H17" i="8"/>
  <c r="E17" i="8"/>
  <c r="J16" i="8"/>
  <c r="E16" i="8"/>
  <c r="J15" i="8"/>
  <c r="E15" i="8"/>
  <c r="J14" i="8"/>
  <c r="E14" i="8"/>
  <c r="J13" i="8"/>
  <c r="E13" i="8"/>
  <c r="J12" i="8"/>
  <c r="J17" i="8" s="1"/>
  <c r="E12" i="8"/>
  <c r="E21" i="8" s="1"/>
  <c r="E9" i="8"/>
  <c r="E6" i="8"/>
  <c r="J4" i="8" s="1"/>
  <c r="D59" i="7"/>
  <c r="C59" i="7"/>
  <c r="E58" i="7"/>
  <c r="E57" i="7"/>
  <c r="E56" i="7"/>
  <c r="E55" i="7"/>
  <c r="E54" i="7"/>
  <c r="E59" i="7" s="1"/>
  <c r="J52" i="7"/>
  <c r="I52" i="7"/>
  <c r="H52" i="7"/>
  <c r="J51" i="7"/>
  <c r="D51" i="7"/>
  <c r="C51" i="7"/>
  <c r="J50" i="7"/>
  <c r="E50" i="7"/>
  <c r="J49" i="7"/>
  <c r="E49" i="7"/>
  <c r="J48" i="7"/>
  <c r="E48" i="7"/>
  <c r="E47" i="7"/>
  <c r="E46" i="7"/>
  <c r="E51" i="7" s="1"/>
  <c r="I45" i="7"/>
  <c r="H45" i="7"/>
  <c r="J44" i="7"/>
  <c r="J43" i="7"/>
  <c r="D43" i="7"/>
  <c r="C43" i="7"/>
  <c r="J42" i="7"/>
  <c r="J45" i="7" s="1"/>
  <c r="E42" i="7"/>
  <c r="E41" i="7"/>
  <c r="E40" i="7"/>
  <c r="E43" i="7" s="1"/>
  <c r="I39" i="7"/>
  <c r="H39" i="7"/>
  <c r="J38" i="7"/>
  <c r="J37" i="7"/>
  <c r="D37" i="7"/>
  <c r="C37" i="7"/>
  <c r="J36" i="7"/>
  <c r="J39" i="7" s="1"/>
  <c r="E36" i="7"/>
  <c r="E35" i="7"/>
  <c r="E34" i="7"/>
  <c r="E37" i="7" s="1"/>
  <c r="I33" i="7"/>
  <c r="H33" i="7"/>
  <c r="J32" i="7"/>
  <c r="J31" i="7"/>
  <c r="D31" i="7"/>
  <c r="C31" i="7"/>
  <c r="J30" i="7"/>
  <c r="E30" i="7"/>
  <c r="J29" i="7"/>
  <c r="J33" i="7" s="1"/>
  <c r="E29" i="7"/>
  <c r="E28" i="7"/>
  <c r="E27" i="7"/>
  <c r="I26" i="7"/>
  <c r="H26" i="7"/>
  <c r="E26" i="7"/>
  <c r="J25" i="7"/>
  <c r="E25" i="7"/>
  <c r="J24" i="7"/>
  <c r="E24" i="7"/>
  <c r="E31" i="7" s="1"/>
  <c r="J23" i="7"/>
  <c r="J22" i="7"/>
  <c r="J21" i="7"/>
  <c r="D21" i="7"/>
  <c r="J56" i="7" s="1"/>
  <c r="J6" i="7" s="1"/>
  <c r="C21" i="7"/>
  <c r="J54" i="7" s="1"/>
  <c r="J20" i="7"/>
  <c r="J26" i="7" s="1"/>
  <c r="E20" i="7"/>
  <c r="E19" i="7"/>
  <c r="E18" i="7"/>
  <c r="I17" i="7"/>
  <c r="H17" i="7"/>
  <c r="E17" i="7"/>
  <c r="J16" i="7"/>
  <c r="E16" i="7"/>
  <c r="J15" i="7"/>
  <c r="E15" i="7"/>
  <c r="J14" i="7"/>
  <c r="E14" i="7"/>
  <c r="J13" i="7"/>
  <c r="E13" i="7"/>
  <c r="J12" i="7"/>
  <c r="J17" i="7" s="1"/>
  <c r="E12" i="7"/>
  <c r="E21" i="7" s="1"/>
  <c r="E9" i="7"/>
  <c r="E6" i="7"/>
  <c r="J4" i="7" s="1"/>
  <c r="D59" i="6"/>
  <c r="C59" i="6"/>
  <c r="E58" i="6"/>
  <c r="E57" i="6"/>
  <c r="E56" i="6"/>
  <c r="E55" i="6"/>
  <c r="E54" i="6"/>
  <c r="E59" i="6" s="1"/>
  <c r="J52" i="6"/>
  <c r="I52" i="6"/>
  <c r="H52" i="6"/>
  <c r="J51" i="6"/>
  <c r="D51" i="6"/>
  <c r="C51" i="6"/>
  <c r="J50" i="6"/>
  <c r="E50" i="6"/>
  <c r="J49" i="6"/>
  <c r="E49" i="6"/>
  <c r="J48" i="6"/>
  <c r="E48" i="6"/>
  <c r="E47" i="6"/>
  <c r="E46" i="6"/>
  <c r="E51" i="6" s="1"/>
  <c r="I45" i="6"/>
  <c r="H45" i="6"/>
  <c r="J44" i="6"/>
  <c r="J43" i="6"/>
  <c r="D43" i="6"/>
  <c r="C43" i="6"/>
  <c r="J42" i="6"/>
  <c r="J45" i="6" s="1"/>
  <c r="E42" i="6"/>
  <c r="E41" i="6"/>
  <c r="E40" i="6"/>
  <c r="E43" i="6" s="1"/>
  <c r="I39" i="6"/>
  <c r="H39" i="6"/>
  <c r="J38" i="6"/>
  <c r="J37" i="6"/>
  <c r="D37" i="6"/>
  <c r="C37" i="6"/>
  <c r="J36" i="6"/>
  <c r="J39" i="6" s="1"/>
  <c r="E36" i="6"/>
  <c r="E35" i="6"/>
  <c r="E34" i="6"/>
  <c r="E37" i="6" s="1"/>
  <c r="I33" i="6"/>
  <c r="H33" i="6"/>
  <c r="J32" i="6"/>
  <c r="J31" i="6"/>
  <c r="D31" i="6"/>
  <c r="C31" i="6"/>
  <c r="J30" i="6"/>
  <c r="E30" i="6"/>
  <c r="J29" i="6"/>
  <c r="J33" i="6" s="1"/>
  <c r="E29" i="6"/>
  <c r="E28" i="6"/>
  <c r="E27" i="6"/>
  <c r="I26" i="6"/>
  <c r="H26" i="6"/>
  <c r="E26" i="6"/>
  <c r="J25" i="6"/>
  <c r="E25" i="6"/>
  <c r="J24" i="6"/>
  <c r="E24" i="6"/>
  <c r="E31" i="6" s="1"/>
  <c r="J23" i="6"/>
  <c r="J22" i="6"/>
  <c r="J21" i="6"/>
  <c r="D21" i="6"/>
  <c r="J56" i="6" s="1"/>
  <c r="J6" i="6" s="1"/>
  <c r="C21" i="6"/>
  <c r="J54" i="6" s="1"/>
  <c r="J20" i="6"/>
  <c r="J26" i="6" s="1"/>
  <c r="E20" i="6"/>
  <c r="E19" i="6"/>
  <c r="E18" i="6"/>
  <c r="I17" i="6"/>
  <c r="H17" i="6"/>
  <c r="E17" i="6"/>
  <c r="J16" i="6"/>
  <c r="E16" i="6"/>
  <c r="J15" i="6"/>
  <c r="E15" i="6"/>
  <c r="J14" i="6"/>
  <c r="E14" i="6"/>
  <c r="J13" i="6"/>
  <c r="E13" i="6"/>
  <c r="J12" i="6"/>
  <c r="J17" i="6" s="1"/>
  <c r="E12" i="6"/>
  <c r="E21" i="6" s="1"/>
  <c r="E9" i="6"/>
  <c r="E6" i="6"/>
  <c r="J4" i="6" s="1"/>
  <c r="D59" i="5"/>
  <c r="C59" i="5"/>
  <c r="E58" i="5"/>
  <c r="E57" i="5"/>
  <c r="E56" i="5"/>
  <c r="E55" i="5"/>
  <c r="E54" i="5"/>
  <c r="E59" i="5" s="1"/>
  <c r="J52" i="5"/>
  <c r="I52" i="5"/>
  <c r="H52" i="5"/>
  <c r="J51" i="5"/>
  <c r="D51" i="5"/>
  <c r="C51" i="5"/>
  <c r="J50" i="5"/>
  <c r="E50" i="5"/>
  <c r="J49" i="5"/>
  <c r="E49" i="5"/>
  <c r="J48" i="5"/>
  <c r="E48" i="5"/>
  <c r="E47" i="5"/>
  <c r="E46" i="5"/>
  <c r="E51" i="5" s="1"/>
  <c r="I45" i="5"/>
  <c r="H45" i="5"/>
  <c r="J44" i="5"/>
  <c r="J43" i="5"/>
  <c r="D43" i="5"/>
  <c r="C43" i="5"/>
  <c r="J42" i="5"/>
  <c r="J45" i="5" s="1"/>
  <c r="E42" i="5"/>
  <c r="E41" i="5"/>
  <c r="E40" i="5"/>
  <c r="E43" i="5" s="1"/>
  <c r="I39" i="5"/>
  <c r="H39" i="5"/>
  <c r="J38" i="5"/>
  <c r="J37" i="5"/>
  <c r="D37" i="5"/>
  <c r="C37" i="5"/>
  <c r="J36" i="5"/>
  <c r="J39" i="5" s="1"/>
  <c r="E36" i="5"/>
  <c r="E35" i="5"/>
  <c r="E34" i="5"/>
  <c r="E37" i="5" s="1"/>
  <c r="I33" i="5"/>
  <c r="H33" i="5"/>
  <c r="J32" i="5"/>
  <c r="J31" i="5"/>
  <c r="D31" i="5"/>
  <c r="C31" i="5"/>
  <c r="J30" i="5"/>
  <c r="E30" i="5"/>
  <c r="J29" i="5"/>
  <c r="J33" i="5" s="1"/>
  <c r="E29" i="5"/>
  <c r="E28" i="5"/>
  <c r="E27" i="5"/>
  <c r="I26" i="5"/>
  <c r="H26" i="5"/>
  <c r="E26" i="5"/>
  <c r="J25" i="5"/>
  <c r="E25" i="5"/>
  <c r="J24" i="5"/>
  <c r="E24" i="5"/>
  <c r="E31" i="5" s="1"/>
  <c r="J23" i="5"/>
  <c r="J22" i="5"/>
  <c r="J21" i="5"/>
  <c r="D21" i="5"/>
  <c r="J56" i="5" s="1"/>
  <c r="J6" i="5" s="1"/>
  <c r="C21" i="5"/>
  <c r="J54" i="5" s="1"/>
  <c r="J58" i="5" s="1"/>
  <c r="J20" i="5"/>
  <c r="J26" i="5" s="1"/>
  <c r="E20" i="5"/>
  <c r="E19" i="5"/>
  <c r="E18" i="5"/>
  <c r="I17" i="5"/>
  <c r="H17" i="5"/>
  <c r="E17" i="5"/>
  <c r="J16" i="5"/>
  <c r="E16" i="5"/>
  <c r="J15" i="5"/>
  <c r="E15" i="5"/>
  <c r="J14" i="5"/>
  <c r="E14" i="5"/>
  <c r="J13" i="5"/>
  <c r="E13" i="5"/>
  <c r="J12" i="5"/>
  <c r="J17" i="5" s="1"/>
  <c r="E12" i="5"/>
  <c r="E21" i="5" s="1"/>
  <c r="E9" i="5"/>
  <c r="E6" i="5"/>
  <c r="D59" i="4"/>
  <c r="C59" i="4"/>
  <c r="E58" i="4"/>
  <c r="E57" i="4"/>
  <c r="E56" i="4"/>
  <c r="E55" i="4"/>
  <c r="E54" i="4"/>
  <c r="E59" i="4" s="1"/>
  <c r="J52" i="4"/>
  <c r="I52" i="4"/>
  <c r="H52" i="4"/>
  <c r="J51" i="4"/>
  <c r="D51" i="4"/>
  <c r="C51" i="4"/>
  <c r="J50" i="4"/>
  <c r="E50" i="4"/>
  <c r="J49" i="4"/>
  <c r="E49" i="4"/>
  <c r="J48" i="4"/>
  <c r="E48" i="4"/>
  <c r="E47" i="4"/>
  <c r="E46" i="4"/>
  <c r="E51" i="4" s="1"/>
  <c r="I45" i="4"/>
  <c r="H45" i="4"/>
  <c r="J44" i="4"/>
  <c r="J43" i="4"/>
  <c r="D43" i="4"/>
  <c r="C43" i="4"/>
  <c r="J42" i="4"/>
  <c r="J45" i="4" s="1"/>
  <c r="E42" i="4"/>
  <c r="E41" i="4"/>
  <c r="E40" i="4"/>
  <c r="E43" i="4" s="1"/>
  <c r="I39" i="4"/>
  <c r="H39" i="4"/>
  <c r="J38" i="4"/>
  <c r="J37" i="4"/>
  <c r="D37" i="4"/>
  <c r="C37" i="4"/>
  <c r="J36" i="4"/>
  <c r="J39" i="4" s="1"/>
  <c r="E36" i="4"/>
  <c r="E35" i="4"/>
  <c r="E34" i="4"/>
  <c r="E37" i="4" s="1"/>
  <c r="I33" i="4"/>
  <c r="H33" i="4"/>
  <c r="J32" i="4"/>
  <c r="J31" i="4"/>
  <c r="D31" i="4"/>
  <c r="C31" i="4"/>
  <c r="J30" i="4"/>
  <c r="E30" i="4"/>
  <c r="J29" i="4"/>
  <c r="J33" i="4" s="1"/>
  <c r="E29" i="4"/>
  <c r="E28" i="4"/>
  <c r="E27" i="4"/>
  <c r="I26" i="4"/>
  <c r="H26" i="4"/>
  <c r="E26" i="4"/>
  <c r="J25" i="4"/>
  <c r="E25" i="4"/>
  <c r="J24" i="4"/>
  <c r="E24" i="4"/>
  <c r="E31" i="4" s="1"/>
  <c r="J23" i="4"/>
  <c r="J22" i="4"/>
  <c r="J21" i="4"/>
  <c r="D21" i="4"/>
  <c r="J56" i="4" s="1"/>
  <c r="J6" i="4" s="1"/>
  <c r="C21" i="4"/>
  <c r="J54" i="4" s="1"/>
  <c r="J20" i="4"/>
  <c r="J26" i="4" s="1"/>
  <c r="E20" i="4"/>
  <c r="E19" i="4"/>
  <c r="E18" i="4"/>
  <c r="I17" i="4"/>
  <c r="H17" i="4"/>
  <c r="E17" i="4"/>
  <c r="J16" i="4"/>
  <c r="E16" i="4"/>
  <c r="J15" i="4"/>
  <c r="E15" i="4"/>
  <c r="J14" i="4"/>
  <c r="E14" i="4"/>
  <c r="J13" i="4"/>
  <c r="E13" i="4"/>
  <c r="J12" i="4"/>
  <c r="J17" i="4" s="1"/>
  <c r="E12" i="4"/>
  <c r="E21" i="4" s="1"/>
  <c r="E9" i="4"/>
  <c r="E6" i="4"/>
  <c r="J4" i="4" s="1"/>
  <c r="D59" i="3"/>
  <c r="C59" i="3"/>
  <c r="E58" i="3"/>
  <c r="E57" i="3"/>
  <c r="E56" i="3"/>
  <c r="E55" i="3"/>
  <c r="E54" i="3"/>
  <c r="E59" i="3" s="1"/>
  <c r="J52" i="3"/>
  <c r="I52" i="3"/>
  <c r="H52" i="3"/>
  <c r="J51" i="3"/>
  <c r="D51" i="3"/>
  <c r="C51" i="3"/>
  <c r="J50" i="3"/>
  <c r="E50" i="3"/>
  <c r="J49" i="3"/>
  <c r="E49" i="3"/>
  <c r="J48" i="3"/>
  <c r="E48" i="3"/>
  <c r="E47" i="3"/>
  <c r="E46" i="3"/>
  <c r="E51" i="3" s="1"/>
  <c r="I45" i="3"/>
  <c r="H45" i="3"/>
  <c r="J44" i="3"/>
  <c r="J43" i="3"/>
  <c r="D43" i="3"/>
  <c r="C43" i="3"/>
  <c r="J42" i="3"/>
  <c r="J45" i="3" s="1"/>
  <c r="E42" i="3"/>
  <c r="E41" i="3"/>
  <c r="E40" i="3"/>
  <c r="E43" i="3" s="1"/>
  <c r="I39" i="3"/>
  <c r="H39" i="3"/>
  <c r="J38" i="3"/>
  <c r="J37" i="3"/>
  <c r="D37" i="3"/>
  <c r="C37" i="3"/>
  <c r="J36" i="3"/>
  <c r="J39" i="3" s="1"/>
  <c r="E36" i="3"/>
  <c r="E35" i="3"/>
  <c r="E34" i="3"/>
  <c r="E37" i="3" s="1"/>
  <c r="I33" i="3"/>
  <c r="H33" i="3"/>
  <c r="J32" i="3"/>
  <c r="J31" i="3"/>
  <c r="D31" i="3"/>
  <c r="C31" i="3"/>
  <c r="J30" i="3"/>
  <c r="E30" i="3"/>
  <c r="J29" i="3"/>
  <c r="J33" i="3" s="1"/>
  <c r="E29" i="3"/>
  <c r="E28" i="3"/>
  <c r="E27" i="3"/>
  <c r="I26" i="3"/>
  <c r="H26" i="3"/>
  <c r="E26" i="3"/>
  <c r="J25" i="3"/>
  <c r="E25" i="3"/>
  <c r="J24" i="3"/>
  <c r="E24" i="3"/>
  <c r="E31" i="3" s="1"/>
  <c r="J23" i="3"/>
  <c r="J22" i="3"/>
  <c r="J21" i="3"/>
  <c r="D21" i="3"/>
  <c r="J56" i="3" s="1"/>
  <c r="J6" i="3" s="1"/>
  <c r="C21" i="3"/>
  <c r="J54" i="3" s="1"/>
  <c r="J20" i="3"/>
  <c r="J26" i="3" s="1"/>
  <c r="E20" i="3"/>
  <c r="E19" i="3"/>
  <c r="E18" i="3"/>
  <c r="I17" i="3"/>
  <c r="H17" i="3"/>
  <c r="E17" i="3"/>
  <c r="J16" i="3"/>
  <c r="E16" i="3"/>
  <c r="J15" i="3"/>
  <c r="E15" i="3"/>
  <c r="J14" i="3"/>
  <c r="E14" i="3"/>
  <c r="J13" i="3"/>
  <c r="E13" i="3"/>
  <c r="J12" i="3"/>
  <c r="J17" i="3" s="1"/>
  <c r="E12" i="3"/>
  <c r="E21" i="3" s="1"/>
  <c r="E9" i="3"/>
  <c r="E6" i="3"/>
  <c r="J4" i="3" s="1"/>
  <c r="B18" i="2"/>
  <c r="B16" i="2"/>
  <c r="B15" i="2"/>
  <c r="B14" i="2"/>
  <c r="B13" i="2"/>
  <c r="C13" i="2" s="1"/>
  <c r="B12" i="2"/>
  <c r="B11" i="2"/>
  <c r="C11" i="2" s="1"/>
  <c r="B10" i="2"/>
  <c r="B9" i="2"/>
  <c r="C9" i="2" s="1"/>
  <c r="B8" i="2"/>
  <c r="B7" i="2"/>
  <c r="C7" i="2" s="1"/>
  <c r="B6" i="2"/>
  <c r="B5" i="2"/>
  <c r="C5" i="2" s="1"/>
  <c r="B4" i="2"/>
  <c r="A15" i="2"/>
  <c r="A14" i="2"/>
  <c r="A13" i="2"/>
  <c r="A12" i="2"/>
  <c r="A11" i="2"/>
  <c r="A10" i="2"/>
  <c r="A9" i="2"/>
  <c r="A8" i="2"/>
  <c r="A7" i="2"/>
  <c r="A6" i="2"/>
  <c r="A5" i="2"/>
  <c r="A4" i="2"/>
  <c r="C15" i="2"/>
  <c r="C16" i="2" l="1"/>
  <c r="D17" i="2"/>
  <c r="E4" i="2"/>
  <c r="E6" i="2"/>
  <c r="E8" i="2"/>
  <c r="E10" i="2"/>
  <c r="E12" i="2"/>
  <c r="E14" i="2"/>
  <c r="E16" i="2"/>
  <c r="E17" i="2"/>
  <c r="E7" i="2"/>
  <c r="E9" i="2"/>
  <c r="E11" i="2"/>
  <c r="E13" i="2"/>
  <c r="E15" i="2"/>
  <c r="E18" i="2"/>
  <c r="E5" i="2"/>
  <c r="C10" i="2"/>
  <c r="C12" i="2"/>
  <c r="C14" i="2"/>
  <c r="C4" i="2"/>
  <c r="C6" i="2"/>
  <c r="C8" i="2"/>
  <c r="B17" i="2"/>
  <c r="F17" i="2"/>
  <c r="J17" i="2"/>
  <c r="L17" i="2"/>
  <c r="N17" i="2"/>
  <c r="P17" i="2"/>
  <c r="R17" i="2"/>
  <c r="T17" i="2"/>
  <c r="V17" i="2"/>
  <c r="X17" i="2"/>
  <c r="J4" i="13"/>
  <c r="J8" i="13"/>
  <c r="J8" i="12"/>
  <c r="J58" i="12"/>
  <c r="J4" i="11"/>
  <c r="J8" i="11"/>
  <c r="J58" i="10"/>
  <c r="J8" i="10"/>
  <c r="J8" i="9"/>
  <c r="J58" i="9"/>
  <c r="J8" i="8"/>
  <c r="J58" i="8"/>
  <c r="J8" i="7"/>
  <c r="J58" i="7"/>
  <c r="J8" i="6"/>
  <c r="J58" i="6"/>
  <c r="J4" i="5"/>
  <c r="J8" i="5"/>
  <c r="J8" i="4"/>
  <c r="J58" i="4"/>
  <c r="J8" i="3"/>
  <c r="J58" i="3"/>
  <c r="C17" i="2"/>
  <c r="C18" i="2" s="1"/>
  <c r="E6" i="1"/>
  <c r="E9" i="1"/>
  <c r="E12" i="1"/>
  <c r="J12" i="1"/>
  <c r="J17" i="1" s="1"/>
  <c r="E13" i="1"/>
  <c r="J13" i="1"/>
  <c r="E14" i="1"/>
  <c r="J14" i="1"/>
  <c r="E15" i="1"/>
  <c r="J15" i="1"/>
  <c r="E16" i="1"/>
  <c r="J16" i="1"/>
  <c r="E17" i="1"/>
  <c r="E18" i="1"/>
  <c r="E19" i="1"/>
  <c r="E20" i="1"/>
  <c r="H17" i="1"/>
  <c r="I17" i="1"/>
  <c r="C21" i="1"/>
  <c r="D21" i="1"/>
  <c r="J56" i="1" s="1"/>
  <c r="E21" i="1"/>
  <c r="J20" i="1"/>
  <c r="E24" i="1"/>
  <c r="E31" i="1" s="1"/>
  <c r="J21" i="1"/>
  <c r="E25" i="1"/>
  <c r="J22" i="1"/>
  <c r="E26" i="1"/>
  <c r="J23" i="1"/>
  <c r="E27" i="1"/>
  <c r="J24" i="1"/>
  <c r="E28" i="1"/>
  <c r="J25" i="1"/>
  <c r="E29" i="1"/>
  <c r="H26" i="1"/>
  <c r="I26" i="1"/>
  <c r="J26" i="1"/>
  <c r="E30" i="1"/>
  <c r="C31" i="1"/>
  <c r="D31" i="1"/>
  <c r="J29" i="1"/>
  <c r="J33" i="1" s="1"/>
  <c r="J30" i="1"/>
  <c r="E34" i="1"/>
  <c r="J31" i="1"/>
  <c r="E35" i="1"/>
  <c r="J32" i="1"/>
  <c r="E36" i="1"/>
  <c r="H33" i="1"/>
  <c r="I33" i="1"/>
  <c r="C37" i="1"/>
  <c r="D37" i="1"/>
  <c r="E37" i="1"/>
  <c r="J36" i="1"/>
  <c r="J37" i="1"/>
  <c r="E40" i="1"/>
  <c r="J38" i="1"/>
  <c r="E41" i="1"/>
  <c r="H39" i="1"/>
  <c r="I39" i="1"/>
  <c r="J39" i="1"/>
  <c r="E42" i="1"/>
  <c r="C43" i="1"/>
  <c r="D43" i="1"/>
  <c r="E43" i="1"/>
  <c r="J42" i="1"/>
  <c r="J43" i="1"/>
  <c r="E46" i="1"/>
  <c r="J44" i="1"/>
  <c r="E47" i="1"/>
  <c r="H45" i="1"/>
  <c r="I45" i="1"/>
  <c r="J45" i="1"/>
  <c r="E48" i="1"/>
  <c r="E49" i="1"/>
  <c r="E51" i="1" s="1"/>
  <c r="E50" i="1"/>
  <c r="J48" i="1"/>
  <c r="C51" i="1"/>
  <c r="D51" i="1"/>
  <c r="J49" i="1"/>
  <c r="J50" i="1"/>
  <c r="J51" i="1"/>
  <c r="E54" i="1"/>
  <c r="H52" i="1"/>
  <c r="I52" i="1"/>
  <c r="E55" i="1"/>
  <c r="E56" i="1"/>
  <c r="E57" i="1"/>
  <c r="E58" i="1"/>
  <c r="C59" i="1"/>
  <c r="D59" i="1"/>
  <c r="J54" i="1" l="1"/>
  <c r="J58" i="1" s="1"/>
  <c r="E59" i="1"/>
  <c r="J52" i="1"/>
  <c r="J6" i="1"/>
  <c r="J8" i="1" s="1"/>
  <c r="J4" i="1"/>
</calcChain>
</file>

<file path=xl/sharedStrings.xml><?xml version="1.0" encoding="utf-8"?>
<sst xmlns="http://schemas.openxmlformats.org/spreadsheetml/2006/main" count="1528" uniqueCount="82">
  <si>
    <t>Total</t>
  </si>
  <si>
    <t>Other</t>
  </si>
  <si>
    <t>Local</t>
  </si>
  <si>
    <t>State</t>
  </si>
  <si>
    <t>Federal</t>
  </si>
  <si>
    <t>Gas</t>
  </si>
  <si>
    <t>Buxheti Familjar</t>
  </si>
  <si>
    <t>TE ARDHURAT E BUXHETUARA</t>
  </si>
  <si>
    <t>TE ARDHURAT FAKTIKE</t>
  </si>
  <si>
    <t>Te ardhura</t>
  </si>
  <si>
    <t>Te ardhura totale</t>
  </si>
  <si>
    <t>Te ardhura shtese</t>
  </si>
  <si>
    <t>Shtepia</t>
  </si>
  <si>
    <t>Kosto e parashikuar</t>
  </si>
  <si>
    <t>Kosto faktike</t>
  </si>
  <si>
    <t>BALANCA E PARASHIKUAR 
(te ardhura te buxhetuara minus kostot e parashikuara)</t>
  </si>
  <si>
    <t>BALANCA FAKTIKE (Te ardhura faktike minus kosto faktike)</t>
  </si>
  <si>
    <t>Diferenca</t>
  </si>
  <si>
    <t>DIFERENCA (Faktike minus te buxhetuara)</t>
  </si>
  <si>
    <t>Qera ose Kredia</t>
  </si>
  <si>
    <t>Shpenzime telefoni (celular, fiks)</t>
  </si>
  <si>
    <t>Dritat</t>
  </si>
  <si>
    <t>Uji</t>
  </si>
  <si>
    <t>TV Kabllor</t>
  </si>
  <si>
    <t>Shpenzime mirembajtje</t>
  </si>
  <si>
    <t>Te tjera</t>
  </si>
  <si>
    <t>Kinema</t>
  </si>
  <si>
    <t>Teater</t>
  </si>
  <si>
    <t>Koncert</t>
  </si>
  <si>
    <t>Kend lojrash</t>
  </si>
  <si>
    <t>Kredia</t>
  </si>
  <si>
    <t>Overdraft</t>
  </si>
  <si>
    <t>Konsumatore</t>
  </si>
  <si>
    <t>Karte krediti</t>
  </si>
  <si>
    <t>Transport</t>
  </si>
  <si>
    <t>Pagese garazhd/Parkim</t>
  </si>
  <si>
    <t>Abone/Taksi</t>
  </si>
  <si>
    <t>Siguracioni</t>
  </si>
  <si>
    <t>Taksat/Kolaudimi</t>
  </si>
  <si>
    <t>Karburant</t>
  </si>
  <si>
    <t>Mirmbajtje</t>
  </si>
  <si>
    <t>Taksa</t>
  </si>
  <si>
    <t>Llogari kursimi</t>
  </si>
  <si>
    <t>Llogari pensioni</t>
  </si>
  <si>
    <t xml:space="preserve"> Shtepie</t>
  </si>
  <si>
    <t>Siguracion privat shendeti</t>
  </si>
  <si>
    <t>Ushqimi</t>
  </si>
  <si>
    <t>Pazare</t>
  </si>
  <si>
    <t>Restorant</t>
  </si>
  <si>
    <t>Kafshet e shtepise</t>
  </si>
  <si>
    <t>Ushqim</t>
  </si>
  <si>
    <t>Shpenzime mjekesore</t>
  </si>
  <si>
    <t>Larje/Kreje</t>
  </si>
  <si>
    <t>Lodra</t>
  </si>
  <si>
    <t>Shpenzime personale</t>
  </si>
  <si>
    <t>Ilace</t>
  </si>
  <si>
    <t>Parukeri/Berber</t>
  </si>
  <si>
    <t>Rroba, kepuce</t>
  </si>
  <si>
    <t>Pastrim kimik</t>
  </si>
  <si>
    <t>Te tjera sipas nevojave</t>
  </si>
  <si>
    <t>Donacione</t>
  </si>
  <si>
    <t>Koha e lire</t>
  </si>
  <si>
    <t>Detergjente, orendi etj…</t>
  </si>
  <si>
    <t>Total Kosto te parashikuara (a)</t>
  </si>
  <si>
    <t>Total Kosto Faktike (b)</t>
  </si>
  <si>
    <t>Diferenca (a-b)</t>
  </si>
  <si>
    <t>Buxheti</t>
  </si>
  <si>
    <t>Jan</t>
  </si>
  <si>
    <t>%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</si>
  <si>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</si>
  <si>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</si>
  <si>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</si>
  <si>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</si>
  <si>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</si>
  <si>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</si>
  <si>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</si>
  <si>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</si>
  <si>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</si>
  <si>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</si>
  <si>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</si>
  <si>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gjendje ne llogari</t>
  </si>
  <si>
    <t>Total shpenzime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</si>
</sst>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3" formatCode="_(* #,##0.00_);_(* \(#,##0.00\);_(* &quot;-&quot;??_);_(@_)"/>
    <numFmt numFmtId="164" formatCode="&quot; &quot;#,##0.00&quot; &quot;;&quot; (&quot;#,##0.00&quot;)&quot;;&quot; -&quot;00&quot; &quot;;&quot; &quot;@&quot; &quot;"/>
    <numFmt numFmtId="165" formatCode="#,##0[$Lek-41C]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6"/>
      <color indexed="63"/>
      <name val="Cambria"/>
      <family val="1"/>
      <scheme val="major"/>
    </font>
    <font>
      <sz val="30"/>
      <color indexed="63"/>
      <name val="Calibri"/>
      <family val="2"/>
      <scheme val="minor"/>
    </font>
    <font>
      <sz val="11"/>
      <color rgb="FF9C0006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indexed="6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indexed="9"/>
        <bgColor auto="1"/>
      </patternFill>
    </fill>
    <fill>
      <patternFill patternType="solid">
        <fgColor rgb="FFFFC7CE"/>
        <bgColor rgb="FFFFC7CE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21">
    <xf numFmtId="0" fontId="0" fillId="0" borderId="0"/>
    <xf numFmtId="0" fontId="1" fillId="0" borderId="0"/>
    <xf numFmtId="0" fontId="8" fillId="5" borderId="0" applyNumberFormat="0" applyBorder="0" applyAlignment="0" applyProtection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/>
    <xf numFmtId="0" fontId="3" fillId="0" borderId="0" xfId="1" applyFont="1" applyFill="1" applyAlignment="1">
      <alignment horizontal="left" vertical="center"/>
    </xf>
    <xf numFmtId="0" fontId="4" fillId="0" borderId="4" xfId="1" applyFont="1" applyFill="1" applyBorder="1"/>
    <xf numFmtId="0" fontId="3" fillId="0" borderId="0" xfId="1" applyFont="1" applyAlignment="1">
      <alignment horizontal="left" vertical="center"/>
    </xf>
    <xf numFmtId="0" fontId="4" fillId="0" borderId="4" xfId="1" applyFont="1" applyFill="1" applyBorder="1" applyAlignment="1">
      <alignment shrinkToFit="1"/>
    </xf>
    <xf numFmtId="0" fontId="4" fillId="0" borderId="0" xfId="1" applyFont="1" applyFill="1" applyAlignment="1">
      <alignment horizontal="left" vertical="center"/>
    </xf>
    <xf numFmtId="0" fontId="4" fillId="0" borderId="2" xfId="1" applyFont="1" applyFill="1" applyBorder="1"/>
    <xf numFmtId="0" fontId="4" fillId="0" borderId="3" xfId="1" applyFont="1" applyFill="1" applyBorder="1"/>
    <xf numFmtId="0" fontId="4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6" fontId="2" fillId="4" borderId="0" xfId="1" applyNumberFormat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6" fontId="2" fillId="4" borderId="0" xfId="1" applyNumberFormat="1" applyFont="1" applyFill="1" applyBorder="1" applyAlignment="1">
      <alignment horizontal="left" vertical="center"/>
    </xf>
    <xf numFmtId="0" fontId="3" fillId="4" borderId="0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4" borderId="0" xfId="1" applyFont="1" applyFill="1" applyBorder="1" applyAlignment="1">
      <alignment horizontal="left" vertical="center"/>
    </xf>
    <xf numFmtId="0" fontId="2" fillId="4" borderId="0" xfId="1" applyFont="1" applyFill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left"/>
    </xf>
    <xf numFmtId="0" fontId="7" fillId="0" borderId="0" xfId="1" applyFont="1" applyBorder="1" applyAlignment="1">
      <alignment horizontal="left" wrapText="1"/>
    </xf>
    <xf numFmtId="0" fontId="12" fillId="0" borderId="4" xfId="0" applyNumberFormat="1" applyFont="1" applyFill="1" applyBorder="1" applyAlignment="1" applyProtection="1"/>
    <xf numFmtId="165" fontId="4" fillId="0" borderId="3" xfId="1" applyNumberFormat="1" applyFont="1" applyFill="1" applyBorder="1"/>
    <xf numFmtId="165" fontId="4" fillId="0" borderId="2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/>
    <xf numFmtId="165" fontId="3" fillId="3" borderId="1" xfId="1" applyNumberFormat="1" applyFont="1" applyFill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 vertical="center"/>
    </xf>
    <xf numFmtId="165" fontId="13" fillId="0" borderId="3" xfId="0" applyNumberFormat="1" applyFont="1" applyFill="1" applyBorder="1" applyAlignment="1" applyProtection="1"/>
    <xf numFmtId="165" fontId="12" fillId="0" borderId="3" xfId="0" applyNumberFormat="1" applyFont="1" applyFill="1" applyBorder="1" applyAlignment="1" applyProtection="1"/>
    <xf numFmtId="165" fontId="12" fillId="0" borderId="2" xfId="0" applyNumberFormat="1" applyFont="1" applyFill="1" applyBorder="1" applyAlignment="1" applyProtection="1"/>
    <xf numFmtId="165" fontId="1" fillId="0" borderId="0" xfId="1" applyNumberFormat="1"/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2" fillId="3" borderId="1" xfId="1" applyFont="1" applyFill="1" applyBorder="1" applyAlignment="1">
      <alignment horizontal="left" vertical="center" shrinkToFit="1"/>
    </xf>
    <xf numFmtId="165" fontId="2" fillId="2" borderId="1" xfId="1" applyNumberFormat="1" applyFont="1" applyFill="1" applyBorder="1" applyAlignment="1">
      <alignment horizontal="right" vertical="center"/>
    </xf>
    <xf numFmtId="0" fontId="2" fillId="2" borderId="7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left" vertical="center" wrapText="1"/>
    </xf>
    <xf numFmtId="0" fontId="2" fillId="3" borderId="6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shrinkToFit="1"/>
    </xf>
    <xf numFmtId="0" fontId="2" fillId="3" borderId="9" xfId="1" applyFont="1" applyFill="1" applyBorder="1" applyAlignment="1">
      <alignment horizontal="left" vertical="center" shrinkToFit="1"/>
    </xf>
    <xf numFmtId="0" fontId="2" fillId="3" borderId="8" xfId="1" applyFont="1" applyFill="1" applyBorder="1" applyAlignment="1">
      <alignment horizontal="left" vertical="center" shrinkToFit="1"/>
    </xf>
    <xf numFmtId="0" fontId="3" fillId="0" borderId="0" xfId="1" applyFont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shrinkToFit="1"/>
    </xf>
    <xf numFmtId="0" fontId="2" fillId="3" borderId="1" xfId="1" applyFont="1" applyFill="1" applyBorder="1" applyAlignment="1">
      <alignment horizontal="left" vertical="center" wrapText="1" shrinkToFit="1"/>
    </xf>
    <xf numFmtId="165" fontId="14" fillId="6" borderId="1" xfId="1" applyNumberFormat="1" applyFont="1" applyFill="1" applyBorder="1" applyAlignment="1">
      <alignment horizontal="right" vertical="center"/>
    </xf>
    <xf numFmtId="0" fontId="16" fillId="7" borderId="11" xfId="0" applyFont="1" applyFill="1" applyBorder="1"/>
    <xf numFmtId="166" fontId="0" fillId="7" borderId="12" xfId="19" applyNumberFormat="1" applyFont="1" applyFill="1" applyBorder="1"/>
    <xf numFmtId="9" fontId="0" fillId="7" borderId="12" xfId="20" applyFont="1" applyFill="1" applyBorder="1"/>
    <xf numFmtId="0" fontId="0" fillId="7" borderId="12" xfId="0" applyFill="1" applyBorder="1"/>
    <xf numFmtId="0" fontId="0" fillId="7" borderId="13" xfId="0" applyFill="1" applyBorder="1"/>
    <xf numFmtId="0" fontId="0" fillId="0" borderId="14" xfId="0" applyBorder="1"/>
    <xf numFmtId="166" fontId="0" fillId="0" borderId="15" xfId="19" applyNumberFormat="1" applyFont="1" applyBorder="1"/>
    <xf numFmtId="9" fontId="0" fillId="0" borderId="15" xfId="20" applyFont="1" applyBorder="1"/>
    <xf numFmtId="0" fontId="16" fillId="0" borderId="14" xfId="0" applyFont="1" applyBorder="1"/>
    <xf numFmtId="166" fontId="16" fillId="0" borderId="15" xfId="19" applyNumberFormat="1" applyFont="1" applyBorder="1"/>
    <xf numFmtId="9" fontId="16" fillId="0" borderId="15" xfId="20" applyFont="1" applyBorder="1"/>
    <xf numFmtId="0" fontId="16" fillId="0" borderId="16" xfId="0" applyFont="1" applyBorder="1"/>
    <xf numFmtId="166" fontId="16" fillId="0" borderId="17" xfId="19" applyNumberFormat="1" applyFont="1" applyBorder="1"/>
    <xf numFmtId="9" fontId="16" fillId="0" borderId="17" xfId="20" applyFont="1" applyBorder="1"/>
  </cellXfs>
  <cellStyles count="21">
    <cellStyle name="cf1" xfId="2"/>
    <cellStyle name="Comma" xfId="19" builtinId="3"/>
    <cellStyle name="Comma 10" xfId="3"/>
    <cellStyle name="Comm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"/>
    <cellStyle name="Normal 2" xfId="11"/>
    <cellStyle name="Normal 3" xfId="12"/>
    <cellStyle name="Normal 4" xfId="13"/>
    <cellStyle name="Normal 5" xfId="14"/>
    <cellStyle name="Normal 6" xfId="15"/>
    <cellStyle name="Normal 7" xfId="16"/>
    <cellStyle name="Normal 8" xfId="17"/>
    <cellStyle name="Normal 9" xfId="18"/>
    <cellStyle name="Percent" xfId="20" builtinId="5"/>
  </cellStyles>
  <dxfs count="1728"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color indexed="63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numFmt numFmtId="165" formatCode="#,##0[$Lek-41C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#,##0[$Lek-41C]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11:E21" totalsRowCount="1" headerRowDxfId="1727" dataDxfId="1726" totalsRowDxfId="1724" tableBorderDxfId="1725">
  <autoFilter ref="B11:E20"/>
  <tableColumns count="4">
    <tableColumn id="1" name="Shtepia" totalsRowLabel="Total" dataDxfId="1723" totalsRowDxfId="1722" dataCellStyle="Normal 16"/>
    <tableColumn id="2" name="Kosto e parashikuar" totalsRowFunction="sum" dataDxfId="1721" totalsRowDxfId="1720" dataCellStyle="Normal 16"/>
    <tableColumn id="3" name="Kosto faktike" totalsRowFunction="sum" dataDxfId="1719" totalsRowDxfId="1718" dataCellStyle="Normal 16"/>
    <tableColumn id="4" name="Diferenca" totalsRowFunction="sum" dataDxfId="1717" totalsRowDxfId="1716" dataCellStyle="Normal 16">
      <calculatedColumnFormula>Table1[Kosto e parashikuar]-Table1[Kosto faktike]</calculatedColumnFormula>
    </tableColumn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G35:J39" totalsRowCount="1" headerRowDxfId="1619" dataDxfId="1618" totalsRowDxfId="1616" tableBorderDxfId="1617">
  <autoFilter ref="G35:J38"/>
  <tableColumns count="4">
    <tableColumn id="1" name="Llogari kursimi" totalsRowLabel="Total" dataDxfId="1615" totalsRowDxfId="1614"/>
    <tableColumn id="2" name="Kosto e parashikuar" totalsRowFunction="sum" dataDxfId="1613" totalsRowDxfId="1612"/>
    <tableColumn id="3" name="Kosto faktike" totalsRowFunction="sum" dataDxfId="1611" totalsRowDxfId="1610"/>
    <tableColumn id="4" name="Diferenca" totalsRowFunction="sum" dataDxfId="1609" totalsRowDxfId="1608">
      <calculatedColumnFormula>Table10[Kosto e parashikuar]-Table10[Kosto faktike]</calculatedColumnFormula>
    </tableColumn>
  </tableColumns>
  <tableStyleInfo name="TableStyleMedium23" showFirstColumn="0" showLastColumn="0" showRowStripes="1" showColumnStripes="0"/>
</table>
</file>

<file path=xl/tables/table100.xml><?xml version="1.0" encoding="utf-8"?>
<table xmlns="http://schemas.openxmlformats.org/spreadsheetml/2006/main" id="100" name="Table617294153657789101" displayName="Table617294153657789101" ref="B45:E51" totalsRowCount="1" headerRowDxfId="539" dataDxfId="538" totalsRowDxfId="537" tableBorderDxfId="536">
  <autoFilter ref="B45:E50"/>
  <tableColumns count="4">
    <tableColumn id="1" name="Kafshet e shtepise" totalsRowLabel="Total" dataDxfId="534" totalsRowDxfId="535"/>
    <tableColumn id="2" name="Kosto e parashikuar" totalsRowFunction="sum" dataDxfId="532" totalsRowDxfId="533"/>
    <tableColumn id="3" name="Kosto faktike" totalsRowFunction="sum" dataDxfId="530" totalsRowDxfId="531"/>
    <tableColumn id="4" name="Diferenca" totalsRowFunction="sum" dataDxfId="528" totalsRowDxfId="529">
      <calculatedColumnFormula>Table617294153657789101[Kosto e parashikuar]-Table617294153657789101[Kosto faktike]</calculatedColumnFormula>
    </tableColumn>
  </tableColumns>
  <tableStyleInfo name="TableStyleMedium23" showFirstColumn="0" showLastColumn="0" showRowStripes="1" showColumnStripes="0"/>
</table>
</file>

<file path=xl/tables/table101.xml><?xml version="1.0" encoding="utf-8"?>
<table xmlns="http://schemas.openxmlformats.org/spreadsheetml/2006/main" id="101" name="Table1118304254667890102" displayName="Table1118304254667890102" ref="G41:J45" totalsRowCount="1" headerRowDxfId="527" dataDxfId="526" totalsRowDxfId="525" tableBorderDxfId="524">
  <autoFilter ref="G41:J44"/>
  <tableColumns count="4">
    <tableColumn id="1" name="Donacione" totalsRowLabel="Total" dataDxfId="522" totalsRowDxfId="523"/>
    <tableColumn id="2" name="Kosto e parashikuar" totalsRowFunction="sum" dataDxfId="520" totalsRowDxfId="521"/>
    <tableColumn id="3" name="Kosto faktike" totalsRowFunction="sum" dataDxfId="518" totalsRowDxfId="519"/>
    <tableColumn id="4" name="Diferenca" totalsRowFunction="sum" dataDxfId="516" totalsRowDxfId="517">
      <calculatedColumnFormula>Table1118304254667890102[Kosto e parashikuar]-Table1118304254667890102[Kosto faktike]</calculatedColumnFormula>
    </tableColumn>
  </tableColumns>
  <tableStyleInfo name="TableStyleMedium23" showFirstColumn="0" showLastColumn="0" showRowStripes="1" showColumnStripes="0"/>
</table>
</file>

<file path=xl/tables/table102.xml><?xml version="1.0" encoding="utf-8"?>
<table xmlns="http://schemas.openxmlformats.org/spreadsheetml/2006/main" id="102" name="Table519314355677991103" displayName="Table519314355677991103" ref="B39:E43" totalsRowCount="1" headerRowDxfId="515" dataDxfId="514" totalsRowDxfId="513" tableBorderDxfId="512">
  <autoFilter ref="B39:E42"/>
  <tableColumns count="4">
    <tableColumn id="1" name="Ushqimi" totalsRowLabel="Total" dataDxfId="510" totalsRowDxfId="511"/>
    <tableColumn id="2" name="Kosto e parashikuar" totalsRowFunction="sum" dataDxfId="508" totalsRowDxfId="509"/>
    <tableColumn id="3" name="Kosto faktike" totalsRowFunction="sum" dataDxfId="506" totalsRowDxfId="507"/>
    <tableColumn id="4" name="Diferenca" totalsRowFunction="sum" dataDxfId="504" totalsRowDxfId="505">
      <calculatedColumnFormula>Table519314355677991103[Kosto e parashikuar]-Table519314355677991103[Kosto faktike]</calculatedColumnFormula>
    </tableColumn>
  </tableColumns>
  <tableStyleInfo name="TableStyleMedium23" showFirstColumn="0" showLastColumn="0" showRowStripes="1" showColumnStripes="0"/>
</table>
</file>

<file path=xl/tables/table103.xml><?xml version="1.0" encoding="utf-8"?>
<table xmlns="http://schemas.openxmlformats.org/spreadsheetml/2006/main" id="103" name="Table920324456688092104" displayName="Table920324456688092104" ref="G28:J33" totalsRowCount="1" headerRowDxfId="503" dataDxfId="502" totalsRowDxfId="501" tableBorderDxfId="500">
  <autoFilter ref="G28:J32"/>
  <tableColumns count="4">
    <tableColumn id="1" name="Taksa" totalsRowLabel="Total" dataDxfId="498" totalsRowDxfId="499"/>
    <tableColumn id="2" name="Kosto e parashikuar" totalsRowFunction="sum" dataDxfId="496" totalsRowDxfId="497"/>
    <tableColumn id="3" name="Kosto faktike" totalsRowFunction="sum" dataDxfId="494" totalsRowDxfId="495"/>
    <tableColumn id="4" name="Diferenca" totalsRowFunction="sum" dataDxfId="492" totalsRowDxfId="493">
      <calculatedColumnFormula>Table920324456688092104[Kosto e parashikuar]-Table920324456688092104[Kosto faktike]</calculatedColumnFormula>
    </tableColumn>
  </tableColumns>
  <tableStyleInfo name="TableStyleMedium23" showFirstColumn="0" showLastColumn="0" showRowStripes="1" showColumnStripes="0"/>
</table>
</file>

<file path=xl/tables/table104.xml><?xml version="1.0" encoding="utf-8"?>
<table xmlns="http://schemas.openxmlformats.org/spreadsheetml/2006/main" id="104" name="Table321334557698193105" displayName="Table321334557698193105" ref="B23:E31" totalsRowCount="1" headerRowDxfId="491" dataDxfId="490" totalsRowDxfId="489" tableBorderDxfId="488">
  <autoFilter ref="B23:E30"/>
  <tableColumns count="4">
    <tableColumn id="1" name="Transport" totalsRowLabel="Total" dataDxfId="486" totalsRowDxfId="487"/>
    <tableColumn id="2" name="Kosto e parashikuar" totalsRowFunction="sum" dataDxfId="484" totalsRowDxfId="485"/>
    <tableColumn id="3" name="Kosto faktike" totalsRowFunction="sum" dataDxfId="482" totalsRowDxfId="483"/>
    <tableColumn id="4" name="Diferenca" totalsRowFunction="sum" dataDxfId="480" totalsRowDxfId="481">
      <calculatedColumnFormula>Table321334557698193105[Kosto e parashikuar]-Table321334557698193105[Kosto faktike]</calculatedColumnFormula>
    </tableColumn>
  </tableColumns>
  <tableStyleInfo name="TableStyleMedium23" showFirstColumn="0" showLastColumn="0" showRowStripes="1" showColumnStripes="0"/>
</table>
</file>

<file path=xl/tables/table105.xml><?xml version="1.0" encoding="utf-8"?>
<table xmlns="http://schemas.openxmlformats.org/spreadsheetml/2006/main" id="105" name="Table822344658708294106" displayName="Table822344658708294106" ref="G19:J26" totalsRowCount="1" headerRowDxfId="479" dataDxfId="478" totalsRowDxfId="477" tableBorderDxfId="476">
  <autoFilter ref="G19:J25"/>
  <tableColumns count="4">
    <tableColumn id="1" name="Kredia" totalsRowLabel="Total" dataDxfId="474" totalsRowDxfId="475"/>
    <tableColumn id="2" name="Kosto e parashikuar" totalsRowFunction="sum" dataDxfId="472" totalsRowDxfId="473"/>
    <tableColumn id="3" name="Kosto faktike" totalsRowFunction="sum" dataDxfId="470" totalsRowDxfId="471"/>
    <tableColumn id="4" name="Diferenca" totalsRowFunction="sum" dataDxfId="468" totalsRowDxfId="469">
      <calculatedColumnFormula>Table822344658708294106[Kosto e parashikuar]-Table822344658708294106[Kosto faktike]</calculatedColumnFormula>
    </tableColumn>
  </tableColumns>
  <tableStyleInfo name="TableStyleMedium23" showFirstColumn="0" showLastColumn="0" showRowStripes="1" showColumnStripes="0"/>
</table>
</file>

<file path=xl/tables/table106.xml><?xml version="1.0" encoding="utf-8"?>
<table xmlns="http://schemas.openxmlformats.org/spreadsheetml/2006/main" id="106" name="Table1023354759718395107" displayName="Table1023354759718395107" ref="G35:J39" totalsRowCount="1" headerRowDxfId="467" dataDxfId="466" totalsRowDxfId="465" tableBorderDxfId="464">
  <autoFilter ref="G35:J38"/>
  <tableColumns count="4">
    <tableColumn id="1" name="Llogari kursimi" totalsRowLabel="Total" dataDxfId="462" totalsRowDxfId="463"/>
    <tableColumn id="2" name="Kosto e parashikuar" totalsRowFunction="sum" dataDxfId="460" totalsRowDxfId="461"/>
    <tableColumn id="3" name="Kosto faktike" totalsRowFunction="sum" dataDxfId="458" totalsRowDxfId="459"/>
    <tableColumn id="4" name="Diferenca" totalsRowFunction="sum" dataDxfId="456" totalsRowDxfId="457">
      <calculatedColumnFormula>Table1023354759718395107[Kosto e parashikuar]-Table1023354759718395107[Kosto faktike]</calculatedColumnFormula>
    </tableColumn>
  </tableColumns>
  <tableStyleInfo name="TableStyleMedium23" showFirstColumn="0" showLastColumn="0" showRowStripes="1" showColumnStripes="0"/>
</table>
</file>

<file path=xl/tables/table107.xml><?xml version="1.0" encoding="utf-8"?>
<table xmlns="http://schemas.openxmlformats.org/spreadsheetml/2006/main" id="107" name="Table724364860728496108" displayName="Table724364860728496108" ref="B53:E59" totalsRowCount="1" headerRowDxfId="455" dataDxfId="454" totalsRowDxfId="453" tableBorderDxfId="452">
  <autoFilter ref="B53:E58"/>
  <tableColumns count="4">
    <tableColumn id="1" name="Shpenzime personale" totalsRowLabel="Total" dataDxfId="450" totalsRowDxfId="451"/>
    <tableColumn id="2" name="Kosto e parashikuar" totalsRowFunction="sum" dataDxfId="448" totalsRowDxfId="449"/>
    <tableColumn id="3" name="Kosto faktike" totalsRowFunction="sum" dataDxfId="446" totalsRowDxfId="447"/>
    <tableColumn id="4" name="Diferenca" totalsRowFunction="sum" dataDxfId="444" totalsRowDxfId="445">
      <calculatedColumnFormula>Table724364860728496108[Kosto e parashikuar]-Table724364860728496108[Kosto faktike]</calculatedColumnFormula>
    </tableColumn>
  </tableColumns>
  <tableStyleInfo name="TableStyleMedium23" showFirstColumn="0" showLastColumn="0" showRowStripes="1" showColumnStripes="0"/>
</table>
</file>

<file path=xl/tables/table108.xml><?xml version="1.0" encoding="utf-8"?>
<table xmlns="http://schemas.openxmlformats.org/spreadsheetml/2006/main" id="108" name="Table225374961738597109" displayName="Table225374961738597109" ref="G11:J17" totalsRowCount="1" headerRowDxfId="443" dataDxfId="442" totalsRowDxfId="441" tableBorderDxfId="440">
  <autoFilter ref="G11:J16"/>
  <tableColumns count="4">
    <tableColumn id="1" name="Koha e lire" totalsRowLabel="Total" dataDxfId="438" totalsRowDxfId="439"/>
    <tableColumn id="2" name="Kosto e parashikuar" totalsRowFunction="sum" dataDxfId="436" totalsRowDxfId="437"/>
    <tableColumn id="3" name="Kosto faktike" totalsRowFunction="sum" dataDxfId="434" totalsRowDxfId="435"/>
    <tableColumn id="4" name="Diferenca" totalsRowFunction="sum" dataDxfId="432" totalsRowDxfId="433">
      <calculatedColumnFormula>Table225374961738597109[Kosto e parashikuar]-Table225374961738597109[Kosto faktike]</calculatedColumnFormula>
    </tableColumn>
  </tableColumns>
  <tableStyleInfo name="TableStyleMedium23" showFirstColumn="0" showLastColumn="0" showRowStripes="1" showColumnStripes="0"/>
</table>
</file>

<file path=xl/tables/table109.xml><?xml version="1.0" encoding="utf-8"?>
<table xmlns="http://schemas.openxmlformats.org/spreadsheetml/2006/main" id="109" name="Table11426385062748698110" displayName="Table11426385062748698110" ref="B11:E21" totalsRowCount="1" headerRowDxfId="431" dataDxfId="430" totalsRowDxfId="429" tableBorderDxfId="428">
  <autoFilter ref="B11:E20"/>
  <tableColumns count="4">
    <tableColumn id="1" name="Shtepia" totalsRowLabel="Total" dataDxfId="426" totalsRowDxfId="427" dataCellStyle="Normal 16"/>
    <tableColumn id="2" name="Kosto e parashikuar" totalsRowFunction="sum" dataDxfId="424" totalsRowDxfId="425" dataCellStyle="Normal 16"/>
    <tableColumn id="3" name="Kosto faktike" totalsRowFunction="sum" dataDxfId="422" totalsRowDxfId="423" dataCellStyle="Normal 16"/>
    <tableColumn id="4" name="Diferenca" totalsRowFunction="sum" dataDxfId="420" totalsRowDxfId="421" dataCellStyle="Normal 16">
      <calculatedColumnFormula>Table11426385062748698110[Kosto e parashikuar]-Table11426385062748698110[Kosto faktike]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1" name="Table7" displayName="Table7" ref="B53:E59" totalsRowCount="1" headerRowDxfId="1607" dataDxfId="1606" totalsRowDxfId="1604" tableBorderDxfId="1605">
  <autoFilter ref="B53:E58"/>
  <tableColumns count="4">
    <tableColumn id="1" name="Shpenzime personale" totalsRowLabel="Total" dataDxfId="1603" totalsRowDxfId="1602"/>
    <tableColumn id="2" name="Kosto e parashikuar" totalsRowFunction="sum" dataDxfId="1601" totalsRowDxfId="1600"/>
    <tableColumn id="3" name="Kosto faktike" totalsRowFunction="sum" dataDxfId="1599" totalsRowDxfId="1598"/>
    <tableColumn id="4" name="Diferenca" totalsRowFunction="sum" dataDxfId="1597" totalsRowDxfId="1596">
      <calculatedColumnFormula>Table7[Kosto e parashikuar]-Table7[Kosto faktike]</calculatedColumnFormula>
    </tableColumn>
  </tableColumns>
  <tableStyleInfo name="TableStyleMedium23" showFirstColumn="0" showLastColumn="0" showRowStripes="1" showColumnStripes="0"/>
</table>
</file>

<file path=xl/tables/table110.xml><?xml version="1.0" encoding="utf-8"?>
<table xmlns="http://schemas.openxmlformats.org/spreadsheetml/2006/main" id="110" name="Table41527395163758799111" displayName="Table41527395163758799111" ref="B33:E37" totalsRowCount="1" headerRowDxfId="419" dataDxfId="418" totalsRowDxfId="417" tableBorderDxfId="416">
  <autoFilter ref="B33:E36"/>
  <tableColumns count="4">
    <tableColumn id="1" name="Siguracioni" totalsRowLabel="Total" dataDxfId="414" totalsRowDxfId="415"/>
    <tableColumn id="2" name="Kosto e parashikuar" totalsRowFunction="sum" dataDxfId="412" totalsRowDxfId="413"/>
    <tableColumn id="3" name="Kosto faktike" totalsRowFunction="sum" dataDxfId="410" totalsRowDxfId="411"/>
    <tableColumn id="4" name="Diferenca" totalsRowFunction="sum" dataDxfId="408" totalsRowDxfId="409">
      <calculatedColumnFormula>Table41527395163758799111[Kosto e parashikuar]-Table41527395163758799111[Kosto faktike]</calculatedColumnFormula>
    </tableColumn>
  </tableColumns>
  <tableStyleInfo name="TableStyleMedium23" showFirstColumn="0" showLastColumn="0" showRowStripes="1" showColumnStripes="0"/>
</table>
</file>

<file path=xl/tables/table111.xml><?xml version="1.0" encoding="utf-8"?>
<table xmlns="http://schemas.openxmlformats.org/spreadsheetml/2006/main" id="111" name="Table1216284052647688100112" displayName="Table1216284052647688100112" ref="G47:J52" totalsRowCount="1" headerRowDxfId="407" dataDxfId="406" totalsRowDxfId="405" tableBorderDxfId="404">
  <autoFilter ref="G47:J51"/>
  <tableColumns count="4">
    <tableColumn id="1" name="Te tjera sipas nevojave" totalsRowLabel="Total" dataDxfId="402" totalsRowDxfId="403"/>
    <tableColumn id="2" name="Kosto e parashikuar" totalsRowFunction="sum" dataDxfId="400" totalsRowDxfId="401"/>
    <tableColumn id="3" name="Kosto faktike" totalsRowFunction="sum" dataDxfId="398" totalsRowDxfId="399"/>
    <tableColumn id="4" name="Diferenca" totalsRowFunction="sum" dataDxfId="396" totalsRowDxfId="397">
      <calculatedColumnFormula>Table1216284052647688100112[Kosto e parashikuar]-Table1216284052647688100112[Kosto faktike]</calculatedColumnFormula>
    </tableColumn>
  </tableColumns>
  <tableStyleInfo name="TableStyleMedium23" showFirstColumn="0" showLastColumn="0" showRowStripes="1" showColumnStripes="0"/>
</table>
</file>

<file path=xl/tables/table112.xml><?xml version="1.0" encoding="utf-8"?>
<table xmlns="http://schemas.openxmlformats.org/spreadsheetml/2006/main" id="112" name="Table617294153657789101113" displayName="Table617294153657789101113" ref="B45:E51" totalsRowCount="1" headerRowDxfId="395" dataDxfId="394" totalsRowDxfId="393" tableBorderDxfId="392">
  <autoFilter ref="B45:E50"/>
  <tableColumns count="4">
    <tableColumn id="1" name="Kafshet e shtepise" totalsRowLabel="Total" dataDxfId="390" totalsRowDxfId="391"/>
    <tableColumn id="2" name="Kosto e parashikuar" totalsRowFunction="sum" dataDxfId="388" totalsRowDxfId="389"/>
    <tableColumn id="3" name="Kosto faktike" totalsRowFunction="sum" dataDxfId="386" totalsRowDxfId="387"/>
    <tableColumn id="4" name="Diferenca" totalsRowFunction="sum" dataDxfId="384" totalsRowDxfId="385">
      <calculatedColumnFormula>Table617294153657789101113[Kosto e parashikuar]-Table617294153657789101113[Kosto faktike]</calculatedColumnFormula>
    </tableColumn>
  </tableColumns>
  <tableStyleInfo name="TableStyleMedium23" showFirstColumn="0" showLastColumn="0" showRowStripes="1" showColumnStripes="0"/>
</table>
</file>

<file path=xl/tables/table113.xml><?xml version="1.0" encoding="utf-8"?>
<table xmlns="http://schemas.openxmlformats.org/spreadsheetml/2006/main" id="113" name="Table1118304254667890102114" displayName="Table1118304254667890102114" ref="G41:J45" totalsRowCount="1" headerRowDxfId="383" dataDxfId="382" totalsRowDxfId="381" tableBorderDxfId="380">
  <autoFilter ref="G41:J44"/>
  <tableColumns count="4">
    <tableColumn id="1" name="Donacione" totalsRowLabel="Total" dataDxfId="378" totalsRowDxfId="379"/>
    <tableColumn id="2" name="Kosto e parashikuar" totalsRowFunction="sum" dataDxfId="376" totalsRowDxfId="377"/>
    <tableColumn id="3" name="Kosto faktike" totalsRowFunction="sum" dataDxfId="374" totalsRowDxfId="375"/>
    <tableColumn id="4" name="Diferenca" totalsRowFunction="sum" dataDxfId="372" totalsRowDxfId="373">
      <calculatedColumnFormula>Table1118304254667890102114[Kosto e parashikuar]-Table1118304254667890102114[Kosto faktike]</calculatedColumnFormula>
    </tableColumn>
  </tableColumns>
  <tableStyleInfo name="TableStyleMedium23" showFirstColumn="0" showLastColumn="0" showRowStripes="1" showColumnStripes="0"/>
</table>
</file>

<file path=xl/tables/table114.xml><?xml version="1.0" encoding="utf-8"?>
<table xmlns="http://schemas.openxmlformats.org/spreadsheetml/2006/main" id="114" name="Table519314355677991103115" displayName="Table519314355677991103115" ref="B39:E43" totalsRowCount="1" headerRowDxfId="371" dataDxfId="370" totalsRowDxfId="369" tableBorderDxfId="368">
  <autoFilter ref="B39:E42"/>
  <tableColumns count="4">
    <tableColumn id="1" name="Ushqimi" totalsRowLabel="Total" dataDxfId="366" totalsRowDxfId="367"/>
    <tableColumn id="2" name="Kosto e parashikuar" totalsRowFunction="sum" dataDxfId="364" totalsRowDxfId="365"/>
    <tableColumn id="3" name="Kosto faktike" totalsRowFunction="sum" dataDxfId="362" totalsRowDxfId="363"/>
    <tableColumn id="4" name="Diferenca" totalsRowFunction="sum" dataDxfId="360" totalsRowDxfId="361">
      <calculatedColumnFormula>Table519314355677991103115[Kosto e parashikuar]-Table519314355677991103115[Kosto faktike]</calculatedColumnFormula>
    </tableColumn>
  </tableColumns>
  <tableStyleInfo name="TableStyleMedium23" showFirstColumn="0" showLastColumn="0" showRowStripes="1" showColumnStripes="0"/>
</table>
</file>

<file path=xl/tables/table115.xml><?xml version="1.0" encoding="utf-8"?>
<table xmlns="http://schemas.openxmlformats.org/spreadsheetml/2006/main" id="115" name="Table920324456688092104116" displayName="Table920324456688092104116" ref="G28:J33" totalsRowCount="1" headerRowDxfId="359" dataDxfId="358" totalsRowDxfId="357" tableBorderDxfId="356">
  <autoFilter ref="G28:J32"/>
  <tableColumns count="4">
    <tableColumn id="1" name="Taksa" totalsRowLabel="Total" dataDxfId="354" totalsRowDxfId="355"/>
    <tableColumn id="2" name="Kosto e parashikuar" totalsRowFunction="sum" dataDxfId="352" totalsRowDxfId="353"/>
    <tableColumn id="3" name="Kosto faktike" totalsRowFunction="sum" dataDxfId="350" totalsRowDxfId="351"/>
    <tableColumn id="4" name="Diferenca" totalsRowFunction="sum" dataDxfId="348" totalsRowDxfId="349">
      <calculatedColumnFormula>Table920324456688092104116[Kosto e parashikuar]-Table920324456688092104116[Kosto faktike]</calculatedColumnFormula>
    </tableColumn>
  </tableColumns>
  <tableStyleInfo name="TableStyleMedium23" showFirstColumn="0" showLastColumn="0" showRowStripes="1" showColumnStripes="0"/>
</table>
</file>

<file path=xl/tables/table116.xml><?xml version="1.0" encoding="utf-8"?>
<table xmlns="http://schemas.openxmlformats.org/spreadsheetml/2006/main" id="116" name="Table321334557698193105117" displayName="Table321334557698193105117" ref="B23:E31" totalsRowCount="1" headerRowDxfId="347" dataDxfId="346" totalsRowDxfId="345" tableBorderDxfId="344">
  <autoFilter ref="B23:E30"/>
  <tableColumns count="4">
    <tableColumn id="1" name="Transport" totalsRowLabel="Total" dataDxfId="342" totalsRowDxfId="343"/>
    <tableColumn id="2" name="Kosto e parashikuar" totalsRowFunction="sum" dataDxfId="340" totalsRowDxfId="341"/>
    <tableColumn id="3" name="Kosto faktike" totalsRowFunction="sum" dataDxfId="338" totalsRowDxfId="339"/>
    <tableColumn id="4" name="Diferenca" totalsRowFunction="sum" dataDxfId="336" totalsRowDxfId="337">
      <calculatedColumnFormula>Table321334557698193105117[Kosto e parashikuar]-Table321334557698193105117[Kosto faktike]</calculatedColumnFormula>
    </tableColumn>
  </tableColumns>
  <tableStyleInfo name="TableStyleMedium23" showFirstColumn="0" showLastColumn="0" showRowStripes="1" showColumnStripes="0"/>
</table>
</file>

<file path=xl/tables/table117.xml><?xml version="1.0" encoding="utf-8"?>
<table xmlns="http://schemas.openxmlformats.org/spreadsheetml/2006/main" id="117" name="Table822344658708294106118" displayName="Table822344658708294106118" ref="G19:J26" totalsRowCount="1" headerRowDxfId="335" dataDxfId="334" totalsRowDxfId="333" tableBorderDxfId="332">
  <autoFilter ref="G19:J25"/>
  <tableColumns count="4">
    <tableColumn id="1" name="Kredia" totalsRowLabel="Total" dataDxfId="330" totalsRowDxfId="331"/>
    <tableColumn id="2" name="Kosto e parashikuar" totalsRowFunction="sum" dataDxfId="328" totalsRowDxfId="329"/>
    <tableColumn id="3" name="Kosto faktike" totalsRowFunction="sum" dataDxfId="326" totalsRowDxfId="327"/>
    <tableColumn id="4" name="Diferenca" totalsRowFunction="sum" dataDxfId="324" totalsRowDxfId="325">
      <calculatedColumnFormula>Table822344658708294106118[Kosto e parashikuar]-Table822344658708294106118[Kosto faktike]</calculatedColumnFormula>
    </tableColumn>
  </tableColumns>
  <tableStyleInfo name="TableStyleMedium23" showFirstColumn="0" showLastColumn="0" showRowStripes="1" showColumnStripes="0"/>
</table>
</file>

<file path=xl/tables/table118.xml><?xml version="1.0" encoding="utf-8"?>
<table xmlns="http://schemas.openxmlformats.org/spreadsheetml/2006/main" id="118" name="Table1023354759718395107119" displayName="Table1023354759718395107119" ref="G35:J39" totalsRowCount="1" headerRowDxfId="323" dataDxfId="322" totalsRowDxfId="321" tableBorderDxfId="320">
  <autoFilter ref="G35:J38"/>
  <tableColumns count="4">
    <tableColumn id="1" name="Llogari kursimi" totalsRowLabel="Total" dataDxfId="318" totalsRowDxfId="319"/>
    <tableColumn id="2" name="Kosto e parashikuar" totalsRowFunction="sum" dataDxfId="316" totalsRowDxfId="317"/>
    <tableColumn id="3" name="Kosto faktike" totalsRowFunction="sum" dataDxfId="314" totalsRowDxfId="315"/>
    <tableColumn id="4" name="Diferenca" totalsRowFunction="sum" dataDxfId="312" totalsRowDxfId="313">
      <calculatedColumnFormula>Table1023354759718395107119[Kosto e parashikuar]-Table1023354759718395107119[Kosto faktike]</calculatedColumnFormula>
    </tableColumn>
  </tableColumns>
  <tableStyleInfo name="TableStyleMedium23" showFirstColumn="0" showLastColumn="0" showRowStripes="1" showColumnStripes="0"/>
</table>
</file>

<file path=xl/tables/table119.xml><?xml version="1.0" encoding="utf-8"?>
<table xmlns="http://schemas.openxmlformats.org/spreadsheetml/2006/main" id="119" name="Table724364860728496108120" displayName="Table724364860728496108120" ref="B53:E59" totalsRowCount="1" headerRowDxfId="311" dataDxfId="310" totalsRowDxfId="309" tableBorderDxfId="308">
  <autoFilter ref="B53:E58"/>
  <tableColumns count="4">
    <tableColumn id="1" name="Shpenzime personale" totalsRowLabel="Total" dataDxfId="306" totalsRowDxfId="307"/>
    <tableColumn id="2" name="Kosto e parashikuar" totalsRowFunction="sum" dataDxfId="304" totalsRowDxfId="305"/>
    <tableColumn id="3" name="Kosto faktike" totalsRowFunction="sum" dataDxfId="302" totalsRowDxfId="303"/>
    <tableColumn id="4" name="Diferenca" totalsRowFunction="sum" dataDxfId="300" totalsRowDxfId="301">
      <calculatedColumnFormula>Table724364860728496108120[Kosto e parashikuar]-Table724364860728496108120[Kosto faktike]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2" name="Table2" displayName="Table2" ref="G11:J17" totalsRowCount="1" headerRowDxfId="1595" dataDxfId="1594" totalsRowDxfId="1592" tableBorderDxfId="1593">
  <autoFilter ref="G11:J16"/>
  <tableColumns count="4">
    <tableColumn id="1" name="Koha e lire" totalsRowLabel="Total" dataDxfId="1591" totalsRowDxfId="1590"/>
    <tableColumn id="2" name="Kosto e parashikuar" totalsRowFunction="sum" dataDxfId="1589" totalsRowDxfId="1588"/>
    <tableColumn id="3" name="Kosto faktike" totalsRowFunction="sum" dataDxfId="1587" totalsRowDxfId="1586"/>
    <tableColumn id="4" name="Diferenca" totalsRowFunction="sum" dataDxfId="1585" totalsRowDxfId="1584">
      <calculatedColumnFormula>Table2[Kosto e parashikuar]-Table2[Kosto faktike]</calculatedColumnFormula>
    </tableColumn>
  </tableColumns>
  <tableStyleInfo name="TableStyleMedium23" showFirstColumn="0" showLastColumn="0" showRowStripes="1" showColumnStripes="0"/>
</table>
</file>

<file path=xl/tables/table120.xml><?xml version="1.0" encoding="utf-8"?>
<table xmlns="http://schemas.openxmlformats.org/spreadsheetml/2006/main" id="120" name="Table225374961738597109121" displayName="Table225374961738597109121" ref="G11:J17" totalsRowCount="1" headerRowDxfId="299" dataDxfId="298" totalsRowDxfId="297" tableBorderDxfId="296">
  <autoFilter ref="G11:J16"/>
  <tableColumns count="4">
    <tableColumn id="1" name="Koha e lire" totalsRowLabel="Total" dataDxfId="294" totalsRowDxfId="295"/>
    <tableColumn id="2" name="Kosto e parashikuar" totalsRowFunction="sum" dataDxfId="292" totalsRowDxfId="293"/>
    <tableColumn id="3" name="Kosto faktike" totalsRowFunction="sum" dataDxfId="290" totalsRowDxfId="291"/>
    <tableColumn id="4" name="Diferenca" totalsRowFunction="sum" dataDxfId="288" totalsRowDxfId="289">
      <calculatedColumnFormula>Table225374961738597109121[Kosto e parashikuar]-Table225374961738597109121[Kosto faktike]</calculatedColumnFormula>
    </tableColumn>
  </tableColumns>
  <tableStyleInfo name="TableStyleMedium23" showFirstColumn="0" showLastColumn="0" showRowStripes="1" showColumnStripes="0"/>
</table>
</file>

<file path=xl/tables/table121.xml><?xml version="1.0" encoding="utf-8"?>
<table xmlns="http://schemas.openxmlformats.org/spreadsheetml/2006/main" id="121" name="Table11426385062748698110122" displayName="Table11426385062748698110122" ref="B11:E21" totalsRowCount="1" headerRowDxfId="287" dataDxfId="286" totalsRowDxfId="285" tableBorderDxfId="284">
  <autoFilter ref="B11:E20"/>
  <tableColumns count="4">
    <tableColumn id="1" name="Shtepia" totalsRowLabel="Total" dataDxfId="282" totalsRowDxfId="283" dataCellStyle="Normal 16"/>
    <tableColumn id="2" name="Kosto e parashikuar" totalsRowFunction="sum" dataDxfId="280" totalsRowDxfId="281" dataCellStyle="Normal 16"/>
    <tableColumn id="3" name="Kosto faktike" totalsRowFunction="sum" dataDxfId="278" totalsRowDxfId="279" dataCellStyle="Normal 16"/>
    <tableColumn id="4" name="Diferenca" totalsRowFunction="sum" dataDxfId="276" totalsRowDxfId="277" dataCellStyle="Normal 16">
      <calculatedColumnFormula>Table11426385062748698110122[Kosto e parashikuar]-Table11426385062748698110122[Kosto faktike]</calculatedColumnFormula>
    </tableColumn>
  </tableColumns>
  <tableStyleInfo name="TableStyleMedium23" showFirstColumn="0" showLastColumn="0" showRowStripes="1" showColumnStripes="0"/>
</table>
</file>

<file path=xl/tables/table122.xml><?xml version="1.0" encoding="utf-8"?>
<table xmlns="http://schemas.openxmlformats.org/spreadsheetml/2006/main" id="122" name="Table41527395163758799111123" displayName="Table41527395163758799111123" ref="B33:E37" totalsRowCount="1" headerRowDxfId="275" dataDxfId="274" totalsRowDxfId="273" tableBorderDxfId="272">
  <autoFilter ref="B33:E36"/>
  <tableColumns count="4">
    <tableColumn id="1" name="Siguracioni" totalsRowLabel="Total" dataDxfId="270" totalsRowDxfId="271"/>
    <tableColumn id="2" name="Kosto e parashikuar" totalsRowFunction="sum" dataDxfId="268" totalsRowDxfId="269"/>
    <tableColumn id="3" name="Kosto faktike" totalsRowFunction="sum" dataDxfId="266" totalsRowDxfId="267"/>
    <tableColumn id="4" name="Diferenca" totalsRowFunction="sum" dataDxfId="264" totalsRowDxfId="265">
      <calculatedColumnFormula>Table41527395163758799111123[Kosto e parashikuar]-Table41527395163758799111123[Kosto faktike]</calculatedColumnFormula>
    </tableColumn>
  </tableColumns>
  <tableStyleInfo name="TableStyleMedium23" showFirstColumn="0" showLastColumn="0" showRowStripes="1" showColumnStripes="0"/>
</table>
</file>

<file path=xl/tables/table123.xml><?xml version="1.0" encoding="utf-8"?>
<table xmlns="http://schemas.openxmlformats.org/spreadsheetml/2006/main" id="123" name="Table1216284052647688100112124" displayName="Table1216284052647688100112124" ref="G47:J52" totalsRowCount="1" headerRowDxfId="263" dataDxfId="262" totalsRowDxfId="261" tableBorderDxfId="260">
  <autoFilter ref="G47:J51"/>
  <tableColumns count="4">
    <tableColumn id="1" name="Te tjera sipas nevojave" totalsRowLabel="Total" dataDxfId="258" totalsRowDxfId="259"/>
    <tableColumn id="2" name="Kosto e parashikuar" totalsRowFunction="sum" dataDxfId="256" totalsRowDxfId="257"/>
    <tableColumn id="3" name="Kosto faktike" totalsRowFunction="sum" dataDxfId="254" totalsRowDxfId="255"/>
    <tableColumn id="4" name="Diferenca" totalsRowFunction="sum" dataDxfId="252" totalsRowDxfId="253">
      <calculatedColumnFormula>Table1216284052647688100112124[Kosto e parashikuar]-Table1216284052647688100112124[Kosto faktike]</calculatedColumnFormula>
    </tableColumn>
  </tableColumns>
  <tableStyleInfo name="TableStyleMedium23" showFirstColumn="0" showLastColumn="0" showRowStripes="1" showColumnStripes="0"/>
</table>
</file>

<file path=xl/tables/table124.xml><?xml version="1.0" encoding="utf-8"?>
<table xmlns="http://schemas.openxmlformats.org/spreadsheetml/2006/main" id="124" name="Table617294153657789101113125" displayName="Table617294153657789101113125" ref="B45:E51" totalsRowCount="1" headerRowDxfId="251" dataDxfId="250" totalsRowDxfId="249" tableBorderDxfId="248">
  <autoFilter ref="B45:E50"/>
  <tableColumns count="4">
    <tableColumn id="1" name="Kafshet e shtepise" totalsRowLabel="Total" dataDxfId="246" totalsRowDxfId="247"/>
    <tableColumn id="2" name="Kosto e parashikuar" totalsRowFunction="sum" dataDxfId="244" totalsRowDxfId="245"/>
    <tableColumn id="3" name="Kosto faktike" totalsRowFunction="sum" dataDxfId="242" totalsRowDxfId="243"/>
    <tableColumn id="4" name="Diferenca" totalsRowFunction="sum" dataDxfId="240" totalsRowDxfId="241">
      <calculatedColumnFormula>Table617294153657789101113125[Kosto e parashikuar]-Table617294153657789101113125[Kosto faktike]</calculatedColumnFormula>
    </tableColumn>
  </tableColumns>
  <tableStyleInfo name="TableStyleMedium23" showFirstColumn="0" showLastColumn="0" showRowStripes="1" showColumnStripes="0"/>
</table>
</file>

<file path=xl/tables/table125.xml><?xml version="1.0" encoding="utf-8"?>
<table xmlns="http://schemas.openxmlformats.org/spreadsheetml/2006/main" id="125" name="Table1118304254667890102114126" displayName="Table1118304254667890102114126" ref="G41:J45" totalsRowCount="1" headerRowDxfId="239" dataDxfId="238" totalsRowDxfId="237" tableBorderDxfId="236">
  <autoFilter ref="G41:J44"/>
  <tableColumns count="4">
    <tableColumn id="1" name="Donacione" totalsRowLabel="Total" dataDxfId="234" totalsRowDxfId="235"/>
    <tableColumn id="2" name="Kosto e parashikuar" totalsRowFunction="sum" dataDxfId="232" totalsRowDxfId="233"/>
    <tableColumn id="3" name="Kosto faktike" totalsRowFunction="sum" dataDxfId="230" totalsRowDxfId="231"/>
    <tableColumn id="4" name="Diferenca" totalsRowFunction="sum" dataDxfId="228" totalsRowDxfId="229">
      <calculatedColumnFormula>Table1118304254667890102114126[Kosto e parashikuar]-Table1118304254667890102114126[Kosto faktike]</calculatedColumnFormula>
    </tableColumn>
  </tableColumns>
  <tableStyleInfo name="TableStyleMedium23" showFirstColumn="0" showLastColumn="0" showRowStripes="1" showColumnStripes="0"/>
</table>
</file>

<file path=xl/tables/table126.xml><?xml version="1.0" encoding="utf-8"?>
<table xmlns="http://schemas.openxmlformats.org/spreadsheetml/2006/main" id="126" name="Table519314355677991103115127" displayName="Table519314355677991103115127" ref="B39:E43" totalsRowCount="1" headerRowDxfId="227" dataDxfId="226" totalsRowDxfId="225" tableBorderDxfId="224">
  <autoFilter ref="B39:E42"/>
  <tableColumns count="4">
    <tableColumn id="1" name="Ushqimi" totalsRowLabel="Total" dataDxfId="222" totalsRowDxfId="223"/>
    <tableColumn id="2" name="Kosto e parashikuar" totalsRowFunction="sum" dataDxfId="220" totalsRowDxfId="221"/>
    <tableColumn id="3" name="Kosto faktike" totalsRowFunction="sum" dataDxfId="218" totalsRowDxfId="219"/>
    <tableColumn id="4" name="Diferenca" totalsRowFunction="sum" dataDxfId="216" totalsRowDxfId="217">
      <calculatedColumnFormula>Table519314355677991103115127[Kosto e parashikuar]-Table519314355677991103115127[Kosto faktike]</calculatedColumnFormula>
    </tableColumn>
  </tableColumns>
  <tableStyleInfo name="TableStyleMedium23" showFirstColumn="0" showLastColumn="0" showRowStripes="1" showColumnStripes="0"/>
</table>
</file>

<file path=xl/tables/table127.xml><?xml version="1.0" encoding="utf-8"?>
<table xmlns="http://schemas.openxmlformats.org/spreadsheetml/2006/main" id="127" name="Table920324456688092104116128" displayName="Table920324456688092104116128" ref="G28:J33" totalsRowCount="1" headerRowDxfId="215" dataDxfId="214" totalsRowDxfId="213" tableBorderDxfId="212">
  <autoFilter ref="G28:J32"/>
  <tableColumns count="4">
    <tableColumn id="1" name="Taksa" totalsRowLabel="Total" dataDxfId="210" totalsRowDxfId="211"/>
    <tableColumn id="2" name="Kosto e parashikuar" totalsRowFunction="sum" dataDxfId="208" totalsRowDxfId="209"/>
    <tableColumn id="3" name="Kosto faktike" totalsRowFunction="sum" dataDxfId="206" totalsRowDxfId="207"/>
    <tableColumn id="4" name="Diferenca" totalsRowFunction="sum" dataDxfId="204" totalsRowDxfId="205">
      <calculatedColumnFormula>Table920324456688092104116128[Kosto e parashikuar]-Table920324456688092104116128[Kosto faktike]</calculatedColumnFormula>
    </tableColumn>
  </tableColumns>
  <tableStyleInfo name="TableStyleMedium23" showFirstColumn="0" showLastColumn="0" showRowStripes="1" showColumnStripes="0"/>
</table>
</file>

<file path=xl/tables/table128.xml><?xml version="1.0" encoding="utf-8"?>
<table xmlns="http://schemas.openxmlformats.org/spreadsheetml/2006/main" id="128" name="Table321334557698193105117129" displayName="Table321334557698193105117129" ref="B23:E31" totalsRowCount="1" headerRowDxfId="203" dataDxfId="202" totalsRowDxfId="201" tableBorderDxfId="200">
  <autoFilter ref="B23:E30"/>
  <tableColumns count="4">
    <tableColumn id="1" name="Transport" totalsRowLabel="Total" dataDxfId="198" totalsRowDxfId="199"/>
    <tableColumn id="2" name="Kosto e parashikuar" totalsRowFunction="sum" dataDxfId="196" totalsRowDxfId="197"/>
    <tableColumn id="3" name="Kosto faktike" totalsRowFunction="sum" dataDxfId="194" totalsRowDxfId="195"/>
    <tableColumn id="4" name="Diferenca" totalsRowFunction="sum" dataDxfId="192" totalsRowDxfId="193">
      <calculatedColumnFormula>Table321334557698193105117129[Kosto e parashikuar]-Table321334557698193105117129[Kosto faktike]</calculatedColumnFormula>
    </tableColumn>
  </tableColumns>
  <tableStyleInfo name="TableStyleMedium23" showFirstColumn="0" showLastColumn="0" showRowStripes="1" showColumnStripes="0"/>
</table>
</file>

<file path=xl/tables/table129.xml><?xml version="1.0" encoding="utf-8"?>
<table xmlns="http://schemas.openxmlformats.org/spreadsheetml/2006/main" id="129" name="Table822344658708294106118130" displayName="Table822344658708294106118130" ref="G19:J26" totalsRowCount="1" headerRowDxfId="191" dataDxfId="190" totalsRowDxfId="189" tableBorderDxfId="188">
  <autoFilter ref="G19:J25"/>
  <tableColumns count="4">
    <tableColumn id="1" name="Kredia" totalsRowLabel="Total" dataDxfId="186" totalsRowDxfId="187"/>
    <tableColumn id="2" name="Kosto e parashikuar" totalsRowFunction="sum" dataDxfId="184" totalsRowDxfId="185"/>
    <tableColumn id="3" name="Kosto faktike" totalsRowFunction="sum" dataDxfId="182" totalsRowDxfId="183"/>
    <tableColumn id="4" name="Diferenca" totalsRowFunction="sum" dataDxfId="180" totalsRowDxfId="181">
      <calculatedColumnFormula>Table822344658708294106118130[Kosto e parashikuar]-Table822344658708294106118130[Kosto faktike]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3" name="Table114" displayName="Table114" ref="B11:E21" totalsRowCount="1" headerRowDxfId="1583" dataDxfId="1582" totalsRowDxfId="1581" tableBorderDxfId="1580">
  <autoFilter ref="B11:E20"/>
  <tableColumns count="4">
    <tableColumn id="1" name="Shtepia" totalsRowLabel="Total" dataDxfId="1578" totalsRowDxfId="1579" dataCellStyle="Normal 16"/>
    <tableColumn id="2" name="Kosto e parashikuar" totalsRowFunction="sum" dataDxfId="1576" totalsRowDxfId="1577" dataCellStyle="Normal 16"/>
    <tableColumn id="3" name="Kosto faktike" totalsRowFunction="sum" dataDxfId="1574" totalsRowDxfId="1575" dataCellStyle="Normal 16"/>
    <tableColumn id="4" name="Diferenca" totalsRowFunction="sum" dataDxfId="1572" totalsRowDxfId="1573" dataCellStyle="Normal 16">
      <calculatedColumnFormula>Table114[Kosto e parashikuar]-Table114[Kosto faktike]</calculatedColumnFormula>
    </tableColumn>
  </tableColumns>
  <tableStyleInfo name="TableStyleMedium23" showFirstColumn="0" showLastColumn="0" showRowStripes="1" showColumnStripes="0"/>
</table>
</file>

<file path=xl/tables/table130.xml><?xml version="1.0" encoding="utf-8"?>
<table xmlns="http://schemas.openxmlformats.org/spreadsheetml/2006/main" id="130" name="Table1023354759718395107119131" displayName="Table1023354759718395107119131" ref="G35:J39" totalsRowCount="1" headerRowDxfId="179" dataDxfId="178" totalsRowDxfId="177" tableBorderDxfId="176">
  <autoFilter ref="G35:J38"/>
  <tableColumns count="4">
    <tableColumn id="1" name="Llogari kursimi" totalsRowLabel="Total" dataDxfId="174" totalsRowDxfId="175"/>
    <tableColumn id="2" name="Kosto e parashikuar" totalsRowFunction="sum" dataDxfId="172" totalsRowDxfId="173"/>
    <tableColumn id="3" name="Kosto faktike" totalsRowFunction="sum" dataDxfId="170" totalsRowDxfId="171"/>
    <tableColumn id="4" name="Diferenca" totalsRowFunction="sum" dataDxfId="168" totalsRowDxfId="169">
      <calculatedColumnFormula>Table1023354759718395107119131[Kosto e parashikuar]-Table1023354759718395107119131[Kosto faktike]</calculatedColumnFormula>
    </tableColumn>
  </tableColumns>
  <tableStyleInfo name="TableStyleMedium23" showFirstColumn="0" showLastColumn="0" showRowStripes="1" showColumnStripes="0"/>
</table>
</file>

<file path=xl/tables/table131.xml><?xml version="1.0" encoding="utf-8"?>
<table xmlns="http://schemas.openxmlformats.org/spreadsheetml/2006/main" id="131" name="Table724364860728496108120132" displayName="Table724364860728496108120132" ref="B53:E59" totalsRowCount="1" headerRowDxfId="167" dataDxfId="166" totalsRowDxfId="165" tableBorderDxfId="164">
  <autoFilter ref="B53:E58"/>
  <tableColumns count="4">
    <tableColumn id="1" name="Shpenzime personale" totalsRowLabel="Total" dataDxfId="162" totalsRowDxfId="163"/>
    <tableColumn id="2" name="Kosto e parashikuar" totalsRowFunction="sum" dataDxfId="160" totalsRowDxfId="161"/>
    <tableColumn id="3" name="Kosto faktike" totalsRowFunction="sum" dataDxfId="158" totalsRowDxfId="159"/>
    <tableColumn id="4" name="Diferenca" totalsRowFunction="sum" dataDxfId="156" totalsRowDxfId="157">
      <calculatedColumnFormula>Table724364860728496108120132[Kosto e parashikuar]-Table724364860728496108120132[Kosto faktike]</calculatedColumnFormula>
    </tableColumn>
  </tableColumns>
  <tableStyleInfo name="TableStyleMedium23" showFirstColumn="0" showLastColumn="0" showRowStripes="1" showColumnStripes="0"/>
</table>
</file>

<file path=xl/tables/table132.xml><?xml version="1.0" encoding="utf-8"?>
<table xmlns="http://schemas.openxmlformats.org/spreadsheetml/2006/main" id="132" name="Table225374961738597109121133" displayName="Table225374961738597109121133" ref="G11:J17" totalsRowCount="1" headerRowDxfId="155" dataDxfId="154" totalsRowDxfId="153" tableBorderDxfId="152">
  <autoFilter ref="G11:J16"/>
  <tableColumns count="4">
    <tableColumn id="1" name="Koha e lire" totalsRowLabel="Total" dataDxfId="150" totalsRowDxfId="151"/>
    <tableColumn id="2" name="Kosto e parashikuar" totalsRowFunction="sum" dataDxfId="148" totalsRowDxfId="149"/>
    <tableColumn id="3" name="Kosto faktike" totalsRowFunction="sum" dataDxfId="146" totalsRowDxfId="147"/>
    <tableColumn id="4" name="Diferenca" totalsRowFunction="sum" dataDxfId="144" totalsRowDxfId="145">
      <calculatedColumnFormula>Table225374961738597109121133[Kosto e parashikuar]-Table225374961738597109121133[Kosto faktike]</calculatedColumnFormula>
    </tableColumn>
  </tableColumns>
  <tableStyleInfo name="TableStyleMedium23" showFirstColumn="0" showLastColumn="0" showRowStripes="1" showColumnStripes="0"/>
</table>
</file>

<file path=xl/tables/table133.xml><?xml version="1.0" encoding="utf-8"?>
<table xmlns="http://schemas.openxmlformats.org/spreadsheetml/2006/main" id="133" name="Table11426385062748698110122134" displayName="Table11426385062748698110122134" ref="B11:E21" totalsRowCount="1" headerRowDxfId="143" dataDxfId="142" totalsRowDxfId="141" tableBorderDxfId="140">
  <autoFilter ref="B11:E20"/>
  <tableColumns count="4">
    <tableColumn id="1" name="Shtepia" totalsRowLabel="Total" dataDxfId="138" totalsRowDxfId="139" dataCellStyle="Normal 16"/>
    <tableColumn id="2" name="Kosto e parashikuar" totalsRowFunction="sum" dataDxfId="136" totalsRowDxfId="137" dataCellStyle="Normal 16"/>
    <tableColumn id="3" name="Kosto faktike" totalsRowFunction="sum" dataDxfId="134" totalsRowDxfId="135" dataCellStyle="Normal 16"/>
    <tableColumn id="4" name="Diferenca" totalsRowFunction="sum" dataDxfId="132" totalsRowDxfId="133" dataCellStyle="Normal 16">
      <calculatedColumnFormula>Table11426385062748698110122134[Kosto e parashikuar]-Table11426385062748698110122134[Kosto faktike]</calculatedColumnFormula>
    </tableColumn>
  </tableColumns>
  <tableStyleInfo name="TableStyleMedium23" showFirstColumn="0" showLastColumn="0" showRowStripes="1" showColumnStripes="0"/>
</table>
</file>

<file path=xl/tables/table134.xml><?xml version="1.0" encoding="utf-8"?>
<table xmlns="http://schemas.openxmlformats.org/spreadsheetml/2006/main" id="134" name="Table41527395163758799111123135" displayName="Table41527395163758799111123135" ref="B33:E37" totalsRowCount="1" headerRowDxfId="131" dataDxfId="130" totalsRowDxfId="129" tableBorderDxfId="128">
  <autoFilter ref="B33:E36"/>
  <tableColumns count="4">
    <tableColumn id="1" name="Siguracioni" totalsRowLabel="Total" dataDxfId="126" totalsRowDxfId="127"/>
    <tableColumn id="2" name="Kosto e parashikuar" totalsRowFunction="sum" dataDxfId="124" totalsRowDxfId="125"/>
    <tableColumn id="3" name="Kosto faktike" totalsRowFunction="sum" dataDxfId="122" totalsRowDxfId="123"/>
    <tableColumn id="4" name="Diferenca" totalsRowFunction="sum" dataDxfId="120" totalsRowDxfId="121">
      <calculatedColumnFormula>Table41527395163758799111123135[Kosto e parashikuar]-Table41527395163758799111123135[Kosto faktike]</calculatedColumnFormula>
    </tableColumn>
  </tableColumns>
  <tableStyleInfo name="TableStyleMedium23" showFirstColumn="0" showLastColumn="0" showRowStripes="1" showColumnStripes="0"/>
</table>
</file>

<file path=xl/tables/table135.xml><?xml version="1.0" encoding="utf-8"?>
<table xmlns="http://schemas.openxmlformats.org/spreadsheetml/2006/main" id="135" name="Table1216284052647688100112124136" displayName="Table1216284052647688100112124136" ref="G47:J52" totalsRowCount="1" headerRowDxfId="119" dataDxfId="118" totalsRowDxfId="117" tableBorderDxfId="116">
  <autoFilter ref="G47:J51"/>
  <tableColumns count="4">
    <tableColumn id="1" name="Te tjera sipas nevojave" totalsRowLabel="Total" dataDxfId="114" totalsRowDxfId="115"/>
    <tableColumn id="2" name="Kosto e parashikuar" totalsRowFunction="sum" dataDxfId="112" totalsRowDxfId="113"/>
    <tableColumn id="3" name="Kosto faktike" totalsRowFunction="sum" dataDxfId="110" totalsRowDxfId="111"/>
    <tableColumn id="4" name="Diferenca" totalsRowFunction="sum" dataDxfId="108" totalsRowDxfId="109">
      <calculatedColumnFormula>Table1216284052647688100112124136[Kosto e parashikuar]-Table1216284052647688100112124136[Kosto faktike]</calculatedColumnFormula>
    </tableColumn>
  </tableColumns>
  <tableStyleInfo name="TableStyleMedium23" showFirstColumn="0" showLastColumn="0" showRowStripes="1" showColumnStripes="0"/>
</table>
</file>

<file path=xl/tables/table136.xml><?xml version="1.0" encoding="utf-8"?>
<table xmlns="http://schemas.openxmlformats.org/spreadsheetml/2006/main" id="136" name="Table617294153657789101113125137" displayName="Table617294153657789101113125137" ref="B45:E51" totalsRowCount="1" headerRowDxfId="107" dataDxfId="106" totalsRowDxfId="105" tableBorderDxfId="104">
  <autoFilter ref="B45:E50"/>
  <tableColumns count="4">
    <tableColumn id="1" name="Kafshet e shtepise" totalsRowLabel="Total" dataDxfId="102" totalsRowDxfId="103"/>
    <tableColumn id="2" name="Kosto e parashikuar" totalsRowFunction="sum" dataDxfId="100" totalsRowDxfId="101"/>
    <tableColumn id="3" name="Kosto faktike" totalsRowFunction="sum" dataDxfId="98" totalsRowDxfId="99"/>
    <tableColumn id="4" name="Diferenca" totalsRowFunction="sum" dataDxfId="96" totalsRowDxfId="97">
      <calculatedColumnFormula>Table617294153657789101113125137[Kosto e parashikuar]-Table617294153657789101113125137[Kosto faktike]</calculatedColumnFormula>
    </tableColumn>
  </tableColumns>
  <tableStyleInfo name="TableStyleMedium23" showFirstColumn="0" showLastColumn="0" showRowStripes="1" showColumnStripes="0"/>
</table>
</file>

<file path=xl/tables/table137.xml><?xml version="1.0" encoding="utf-8"?>
<table xmlns="http://schemas.openxmlformats.org/spreadsheetml/2006/main" id="137" name="Table1118304254667890102114126138" displayName="Table1118304254667890102114126138" ref="G41:J45" totalsRowCount="1" headerRowDxfId="95" dataDxfId="94" totalsRowDxfId="93" tableBorderDxfId="92">
  <autoFilter ref="G41:J44"/>
  <tableColumns count="4">
    <tableColumn id="1" name="Donacione" totalsRowLabel="Total" dataDxfId="90" totalsRowDxfId="91"/>
    <tableColumn id="2" name="Kosto e parashikuar" totalsRowFunction="sum" dataDxfId="88" totalsRowDxfId="89"/>
    <tableColumn id="3" name="Kosto faktike" totalsRowFunction="sum" dataDxfId="86" totalsRowDxfId="87"/>
    <tableColumn id="4" name="Diferenca" totalsRowFunction="sum" dataDxfId="84" totalsRowDxfId="85">
      <calculatedColumnFormula>Table1118304254667890102114126138[Kosto e parashikuar]-Table1118304254667890102114126138[Kosto faktike]</calculatedColumnFormula>
    </tableColumn>
  </tableColumns>
  <tableStyleInfo name="TableStyleMedium23" showFirstColumn="0" showLastColumn="0" showRowStripes="1" showColumnStripes="0"/>
</table>
</file>

<file path=xl/tables/table138.xml><?xml version="1.0" encoding="utf-8"?>
<table xmlns="http://schemas.openxmlformats.org/spreadsheetml/2006/main" id="138" name="Table519314355677991103115127139" displayName="Table519314355677991103115127139" ref="B39:E43" totalsRowCount="1" headerRowDxfId="83" dataDxfId="82" totalsRowDxfId="81" tableBorderDxfId="80">
  <autoFilter ref="B39:E42"/>
  <tableColumns count="4">
    <tableColumn id="1" name="Ushqimi" totalsRowLabel="Total" dataDxfId="78" totalsRowDxfId="79"/>
    <tableColumn id="2" name="Kosto e parashikuar" totalsRowFunction="sum" dataDxfId="76" totalsRowDxfId="77"/>
    <tableColumn id="3" name="Kosto faktike" totalsRowFunction="sum" dataDxfId="74" totalsRowDxfId="75"/>
    <tableColumn id="4" name="Diferenca" totalsRowFunction="sum" dataDxfId="72" totalsRowDxfId="73">
      <calculatedColumnFormula>Table519314355677991103115127139[Kosto e parashikuar]-Table519314355677991103115127139[Kosto faktike]</calculatedColumnFormula>
    </tableColumn>
  </tableColumns>
  <tableStyleInfo name="TableStyleMedium23" showFirstColumn="0" showLastColumn="0" showRowStripes="1" showColumnStripes="0"/>
</table>
</file>

<file path=xl/tables/table139.xml><?xml version="1.0" encoding="utf-8"?>
<table xmlns="http://schemas.openxmlformats.org/spreadsheetml/2006/main" id="139" name="Table920324456688092104116128140" displayName="Table920324456688092104116128140" ref="G28:J33" totalsRowCount="1" headerRowDxfId="71" dataDxfId="70" totalsRowDxfId="69" tableBorderDxfId="68">
  <autoFilter ref="G28:J32"/>
  <tableColumns count="4">
    <tableColumn id="1" name="Taksa" totalsRowLabel="Total" dataDxfId="66" totalsRowDxfId="67"/>
    <tableColumn id="2" name="Kosto e parashikuar" totalsRowFunction="sum" dataDxfId="64" totalsRowDxfId="65"/>
    <tableColumn id="3" name="Kosto faktike" totalsRowFunction="sum" dataDxfId="62" totalsRowDxfId="63"/>
    <tableColumn id="4" name="Diferenca" totalsRowFunction="sum" dataDxfId="60" totalsRowDxfId="61">
      <calculatedColumnFormula>Table920324456688092104116128140[Kosto e parashikuar]-Table920324456688092104116128140[Kosto faktike]</calculatedColumnFormula>
    </tableColumn>
  </tableColumns>
  <tableStyleInfo name="TableStyleMedium23" showFirstColumn="0" showLastColumn="0" showRowStripes="1" showColumnStripes="0"/>
</table>
</file>

<file path=xl/tables/table14.xml><?xml version="1.0" encoding="utf-8"?>
<table xmlns="http://schemas.openxmlformats.org/spreadsheetml/2006/main" id="14" name="Table415" displayName="Table415" ref="B33:E37" totalsRowCount="1" headerRowDxfId="1571" dataDxfId="1570" totalsRowDxfId="1569" tableBorderDxfId="1568">
  <autoFilter ref="B33:E36"/>
  <tableColumns count="4">
    <tableColumn id="1" name="Siguracioni" totalsRowLabel="Total" dataDxfId="1566" totalsRowDxfId="1567"/>
    <tableColumn id="2" name="Kosto e parashikuar" totalsRowFunction="sum" dataDxfId="1564" totalsRowDxfId="1565"/>
    <tableColumn id="3" name="Kosto faktike" totalsRowFunction="sum" dataDxfId="1562" totalsRowDxfId="1563"/>
    <tableColumn id="4" name="Diferenca" totalsRowFunction="sum" dataDxfId="1560" totalsRowDxfId="1561">
      <calculatedColumnFormula>Table415[Kosto e parashikuar]-Table415[Kosto faktike]</calculatedColumnFormula>
    </tableColumn>
  </tableColumns>
  <tableStyleInfo name="TableStyleMedium23" showFirstColumn="0" showLastColumn="0" showRowStripes="1" showColumnStripes="0"/>
</table>
</file>

<file path=xl/tables/table140.xml><?xml version="1.0" encoding="utf-8"?>
<table xmlns="http://schemas.openxmlformats.org/spreadsheetml/2006/main" id="140" name="Table321334557698193105117129141" displayName="Table321334557698193105117129141" ref="B23:E31" totalsRowCount="1" headerRowDxfId="59" dataDxfId="58" totalsRowDxfId="57" tableBorderDxfId="56">
  <autoFilter ref="B23:E30"/>
  <tableColumns count="4">
    <tableColumn id="1" name="Transport" totalsRowLabel="Total" dataDxfId="54" totalsRowDxfId="55"/>
    <tableColumn id="2" name="Kosto e parashikuar" totalsRowFunction="sum" dataDxfId="52" totalsRowDxfId="53"/>
    <tableColumn id="3" name="Kosto faktike" totalsRowFunction="sum" dataDxfId="50" totalsRowDxfId="51"/>
    <tableColumn id="4" name="Diferenca" totalsRowFunction="sum" dataDxfId="48" totalsRowDxfId="49">
      <calculatedColumnFormula>Table321334557698193105117129141[Kosto e parashikuar]-Table321334557698193105117129141[Kosto faktike]</calculatedColumnFormula>
    </tableColumn>
  </tableColumns>
  <tableStyleInfo name="TableStyleMedium23" showFirstColumn="0" showLastColumn="0" showRowStripes="1" showColumnStripes="0"/>
</table>
</file>

<file path=xl/tables/table141.xml><?xml version="1.0" encoding="utf-8"?>
<table xmlns="http://schemas.openxmlformats.org/spreadsheetml/2006/main" id="141" name="Table822344658708294106118130142" displayName="Table822344658708294106118130142" ref="G19:J26" totalsRowCount="1" headerRowDxfId="47" dataDxfId="46" totalsRowDxfId="45" tableBorderDxfId="44">
  <autoFilter ref="G19:J25"/>
  <tableColumns count="4">
    <tableColumn id="1" name="Kredia" totalsRowLabel="Total" dataDxfId="42" totalsRowDxfId="43"/>
    <tableColumn id="2" name="Kosto e parashikuar" totalsRowFunction="sum" dataDxfId="40" totalsRowDxfId="41"/>
    <tableColumn id="3" name="Kosto faktike" totalsRowFunction="sum" dataDxfId="38" totalsRowDxfId="39"/>
    <tableColumn id="4" name="Diferenca" totalsRowFunction="sum" dataDxfId="36" totalsRowDxfId="37">
      <calculatedColumnFormula>Table822344658708294106118130142[Kosto e parashikuar]-Table822344658708294106118130142[Kosto faktike]</calculatedColumnFormula>
    </tableColumn>
  </tableColumns>
  <tableStyleInfo name="TableStyleMedium23" showFirstColumn="0" showLastColumn="0" showRowStripes="1" showColumnStripes="0"/>
</table>
</file>

<file path=xl/tables/table142.xml><?xml version="1.0" encoding="utf-8"?>
<table xmlns="http://schemas.openxmlformats.org/spreadsheetml/2006/main" id="142" name="Table1023354759718395107119131143" displayName="Table1023354759718395107119131143" ref="G35:J39" totalsRowCount="1" headerRowDxfId="35" dataDxfId="34" totalsRowDxfId="33" tableBorderDxfId="32">
  <autoFilter ref="G35:J38"/>
  <tableColumns count="4">
    <tableColumn id="1" name="Llogari kursimi" totalsRowLabel="Total" dataDxfId="30" totalsRowDxfId="31"/>
    <tableColumn id="2" name="Kosto e parashikuar" totalsRowFunction="sum" dataDxfId="28" totalsRowDxfId="29"/>
    <tableColumn id="3" name="Kosto faktike" totalsRowFunction="sum" dataDxfId="26" totalsRowDxfId="27"/>
    <tableColumn id="4" name="Diferenca" totalsRowFunction="sum" dataDxfId="24" totalsRowDxfId="25">
      <calculatedColumnFormula>Table1023354759718395107119131143[Kosto e parashikuar]-Table1023354759718395107119131143[Kosto faktike]</calculatedColumnFormula>
    </tableColumn>
  </tableColumns>
  <tableStyleInfo name="TableStyleMedium23" showFirstColumn="0" showLastColumn="0" showRowStripes="1" showColumnStripes="0"/>
</table>
</file>

<file path=xl/tables/table143.xml><?xml version="1.0" encoding="utf-8"?>
<table xmlns="http://schemas.openxmlformats.org/spreadsheetml/2006/main" id="143" name="Table724364860728496108120132144" displayName="Table724364860728496108120132144" ref="B53:E59" totalsRowCount="1" headerRowDxfId="23" dataDxfId="22" totalsRowDxfId="21" tableBorderDxfId="20">
  <autoFilter ref="B53:E58"/>
  <tableColumns count="4">
    <tableColumn id="1" name="Shpenzime personale" totalsRowLabel="Total" dataDxfId="18" totalsRowDxfId="19"/>
    <tableColumn id="2" name="Kosto e parashikuar" totalsRowFunction="sum" dataDxfId="16" totalsRowDxfId="17"/>
    <tableColumn id="3" name="Kosto faktike" totalsRowFunction="sum" dataDxfId="14" totalsRowDxfId="15"/>
    <tableColumn id="4" name="Diferenca" totalsRowFunction="sum" dataDxfId="12" totalsRowDxfId="13">
      <calculatedColumnFormula>Table724364860728496108120132144[Kosto e parashikuar]-Table724364860728496108120132144[Kosto faktike]</calculatedColumnFormula>
    </tableColumn>
  </tableColumns>
  <tableStyleInfo name="TableStyleMedium23" showFirstColumn="0" showLastColumn="0" showRowStripes="1" showColumnStripes="0"/>
</table>
</file>

<file path=xl/tables/table144.xml><?xml version="1.0" encoding="utf-8"?>
<table xmlns="http://schemas.openxmlformats.org/spreadsheetml/2006/main" id="144" name="Table225374961738597109121133145" displayName="Table225374961738597109121133145" ref="G11:J17" totalsRowCount="1" headerRowDxfId="11" dataDxfId="10" totalsRowDxfId="9" tableBorderDxfId="8">
  <autoFilter ref="G11:J16"/>
  <tableColumns count="4">
    <tableColumn id="1" name="Koha e lire" totalsRowLabel="Total" dataDxfId="6" totalsRowDxfId="7"/>
    <tableColumn id="2" name="Kosto e parashikuar" totalsRowFunction="sum" dataDxfId="4" totalsRowDxfId="5"/>
    <tableColumn id="3" name="Kosto faktike" totalsRowFunction="sum" dataDxfId="2" totalsRowDxfId="3"/>
    <tableColumn id="4" name="Diferenca" totalsRowFunction="sum" dataDxfId="0" totalsRowDxfId="1">
      <calculatedColumnFormula>Table225374961738597109121133145[Kosto e parashikuar]-Table225374961738597109121133145[Kosto faktike]</calculatedColumnFormula>
    </tableColumn>
  </tableColumns>
  <tableStyleInfo name="TableStyleMedium23" showFirstColumn="0" showLastColumn="0" showRowStripes="1" showColumnStripes="0"/>
</table>
</file>

<file path=xl/tables/table15.xml><?xml version="1.0" encoding="utf-8"?>
<table xmlns="http://schemas.openxmlformats.org/spreadsheetml/2006/main" id="15" name="Table1216" displayName="Table1216" ref="G47:J52" totalsRowCount="1" headerRowDxfId="1559" dataDxfId="1558" totalsRowDxfId="1557" tableBorderDxfId="1556">
  <autoFilter ref="G47:J51"/>
  <tableColumns count="4">
    <tableColumn id="1" name="Te tjera sipas nevojave" totalsRowLabel="Total" dataDxfId="1554" totalsRowDxfId="1555"/>
    <tableColumn id="2" name="Kosto e parashikuar" totalsRowFunction="sum" dataDxfId="1552" totalsRowDxfId="1553"/>
    <tableColumn id="3" name="Kosto faktike" totalsRowFunction="sum" dataDxfId="1550" totalsRowDxfId="1551"/>
    <tableColumn id="4" name="Diferenca" totalsRowFunction="sum" dataDxfId="1548" totalsRowDxfId="1549">
      <calculatedColumnFormula>Table1216[Kosto e parashikuar]-Table1216[Kosto faktike]</calculatedColumnFormula>
    </tableColumn>
  </tableColumns>
  <tableStyleInfo name="TableStyleMedium23" showFirstColumn="0" showLastColumn="0" showRowStripes="1" showColumnStripes="0"/>
</table>
</file>

<file path=xl/tables/table16.xml><?xml version="1.0" encoding="utf-8"?>
<table xmlns="http://schemas.openxmlformats.org/spreadsheetml/2006/main" id="16" name="Table617" displayName="Table617" ref="B45:E51" totalsRowCount="1" headerRowDxfId="1547" dataDxfId="1546" totalsRowDxfId="1545" tableBorderDxfId="1544">
  <autoFilter ref="B45:E50"/>
  <tableColumns count="4">
    <tableColumn id="1" name="Kafshet e shtepise" totalsRowLabel="Total" dataDxfId="1542" totalsRowDxfId="1543"/>
    <tableColumn id="2" name="Kosto e parashikuar" totalsRowFunction="sum" dataDxfId="1540" totalsRowDxfId="1541"/>
    <tableColumn id="3" name="Kosto faktike" totalsRowFunction="sum" dataDxfId="1538" totalsRowDxfId="1539"/>
    <tableColumn id="4" name="Diferenca" totalsRowFunction="sum" dataDxfId="1536" totalsRowDxfId="1537">
      <calculatedColumnFormula>Table617[Kosto e parashikuar]-Table617[Kosto faktike]</calculatedColumnFormula>
    </tableColumn>
  </tableColumns>
  <tableStyleInfo name="TableStyleMedium23" showFirstColumn="0" showLastColumn="0" showRowStripes="1" showColumnStripes="0"/>
</table>
</file>

<file path=xl/tables/table17.xml><?xml version="1.0" encoding="utf-8"?>
<table xmlns="http://schemas.openxmlformats.org/spreadsheetml/2006/main" id="17" name="Table1118" displayName="Table1118" ref="G41:J45" totalsRowCount="1" headerRowDxfId="1535" dataDxfId="1534" totalsRowDxfId="1533" tableBorderDxfId="1532">
  <autoFilter ref="G41:J44"/>
  <tableColumns count="4">
    <tableColumn id="1" name="Donacione" totalsRowLabel="Total" dataDxfId="1530" totalsRowDxfId="1531"/>
    <tableColumn id="2" name="Kosto e parashikuar" totalsRowFunction="sum" dataDxfId="1528" totalsRowDxfId="1529"/>
    <tableColumn id="3" name="Kosto faktike" totalsRowFunction="sum" dataDxfId="1526" totalsRowDxfId="1527"/>
    <tableColumn id="4" name="Diferenca" totalsRowFunction="sum" dataDxfId="1524" totalsRowDxfId="1525">
      <calculatedColumnFormula>Table1118[Kosto e parashikuar]-Table1118[Kosto faktike]</calculatedColumnFormula>
    </tableColumn>
  </tableColumns>
  <tableStyleInfo name="TableStyleMedium23" showFirstColumn="0" showLastColumn="0" showRowStripes="1" showColumnStripes="0"/>
</table>
</file>

<file path=xl/tables/table18.xml><?xml version="1.0" encoding="utf-8"?>
<table xmlns="http://schemas.openxmlformats.org/spreadsheetml/2006/main" id="18" name="Table519" displayName="Table519" ref="B39:E43" totalsRowCount="1" headerRowDxfId="1523" dataDxfId="1522" totalsRowDxfId="1521" tableBorderDxfId="1520">
  <autoFilter ref="B39:E42"/>
  <tableColumns count="4">
    <tableColumn id="1" name="Ushqimi" totalsRowLabel="Total" dataDxfId="1518" totalsRowDxfId="1519"/>
    <tableColumn id="2" name="Kosto e parashikuar" totalsRowFunction="sum" dataDxfId="1516" totalsRowDxfId="1517"/>
    <tableColumn id="3" name="Kosto faktike" totalsRowFunction="sum" dataDxfId="1514" totalsRowDxfId="1515"/>
    <tableColumn id="4" name="Diferenca" totalsRowFunction="sum" dataDxfId="1512" totalsRowDxfId="1513">
      <calculatedColumnFormula>Table519[Kosto e parashikuar]-Table519[Kosto faktike]</calculatedColumnFormula>
    </tableColumn>
  </tableColumns>
  <tableStyleInfo name="TableStyleMedium23" showFirstColumn="0" showLastColumn="0" showRowStripes="1" showColumnStripes="0"/>
</table>
</file>

<file path=xl/tables/table19.xml><?xml version="1.0" encoding="utf-8"?>
<table xmlns="http://schemas.openxmlformats.org/spreadsheetml/2006/main" id="19" name="Table920" displayName="Table920" ref="G28:J33" totalsRowCount="1" headerRowDxfId="1511" dataDxfId="1510" totalsRowDxfId="1509" tableBorderDxfId="1508">
  <autoFilter ref="G28:J32"/>
  <tableColumns count="4">
    <tableColumn id="1" name="Taksa" totalsRowLabel="Total" dataDxfId="1506" totalsRowDxfId="1507"/>
    <tableColumn id="2" name="Kosto e parashikuar" totalsRowFunction="sum" dataDxfId="1504" totalsRowDxfId="1505"/>
    <tableColumn id="3" name="Kosto faktike" totalsRowFunction="sum" dataDxfId="1502" totalsRowDxfId="1503"/>
    <tableColumn id="4" name="Diferenca" totalsRowFunction="sum" dataDxfId="1500" totalsRowDxfId="1501">
      <calculatedColumnFormula>Table920[Kosto e parashikuar]-Table920[Kosto faktike]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B33:E37" totalsRowCount="1" headerRowDxfId="1715" dataDxfId="1714" totalsRowDxfId="1712" tableBorderDxfId="1713">
  <autoFilter ref="B33:E36"/>
  <tableColumns count="4">
    <tableColumn id="1" name="Siguracioni" totalsRowLabel="Total" dataDxfId="1711" totalsRowDxfId="1710"/>
    <tableColumn id="2" name="Kosto e parashikuar" totalsRowFunction="sum" dataDxfId="1709" totalsRowDxfId="1708"/>
    <tableColumn id="3" name="Kosto faktike" totalsRowFunction="sum" dataDxfId="1707" totalsRowDxfId="1706"/>
    <tableColumn id="4" name="Diferenca" totalsRowFunction="sum" dataDxfId="1705" totalsRowDxfId="1704">
      <calculatedColumnFormula>Table4[Kosto e parashikuar]-Table4[Kosto faktike]</calculatedColumnFormula>
    </tableColumn>
  </tableColumns>
  <tableStyleInfo name="TableStyleMedium23" showFirstColumn="0" showLastColumn="0" showRowStripes="1" showColumnStripes="0"/>
</table>
</file>

<file path=xl/tables/table20.xml><?xml version="1.0" encoding="utf-8"?>
<table xmlns="http://schemas.openxmlformats.org/spreadsheetml/2006/main" id="20" name="Table321" displayName="Table321" ref="B23:E31" totalsRowCount="1" headerRowDxfId="1499" dataDxfId="1498" totalsRowDxfId="1497" tableBorderDxfId="1496">
  <autoFilter ref="B23:E30"/>
  <tableColumns count="4">
    <tableColumn id="1" name="Transport" totalsRowLabel="Total" dataDxfId="1494" totalsRowDxfId="1495"/>
    <tableColumn id="2" name="Kosto e parashikuar" totalsRowFunction="sum" dataDxfId="1492" totalsRowDxfId="1493"/>
    <tableColumn id="3" name="Kosto faktike" totalsRowFunction="sum" dataDxfId="1490" totalsRowDxfId="1491"/>
    <tableColumn id="4" name="Diferenca" totalsRowFunction="sum" dataDxfId="1488" totalsRowDxfId="1489">
      <calculatedColumnFormula>Table321[Kosto e parashikuar]-Table321[Kosto faktike]</calculatedColumnFormula>
    </tableColumn>
  </tableColumns>
  <tableStyleInfo name="TableStyleMedium23" showFirstColumn="0" showLastColumn="0" showRowStripes="1" showColumnStripes="0"/>
</table>
</file>

<file path=xl/tables/table21.xml><?xml version="1.0" encoding="utf-8"?>
<table xmlns="http://schemas.openxmlformats.org/spreadsheetml/2006/main" id="21" name="Table822" displayName="Table822" ref="G19:J26" totalsRowCount="1" headerRowDxfId="1487" dataDxfId="1486" totalsRowDxfId="1485" tableBorderDxfId="1484">
  <autoFilter ref="G19:J25"/>
  <tableColumns count="4">
    <tableColumn id="1" name="Kredia" totalsRowLabel="Total" dataDxfId="1482" totalsRowDxfId="1483"/>
    <tableColumn id="2" name="Kosto e parashikuar" totalsRowFunction="sum" dataDxfId="1480" totalsRowDxfId="1481"/>
    <tableColumn id="3" name="Kosto faktike" totalsRowFunction="sum" dataDxfId="1478" totalsRowDxfId="1479"/>
    <tableColumn id="4" name="Diferenca" totalsRowFunction="sum" dataDxfId="1476" totalsRowDxfId="1477">
      <calculatedColumnFormula>Table822[Kosto e parashikuar]-Table822[Kosto faktike]</calculatedColumnFormula>
    </tableColumn>
  </tableColumns>
  <tableStyleInfo name="TableStyleMedium23" showFirstColumn="0" showLastColumn="0" showRowStripes="1" showColumnStripes="0"/>
</table>
</file>

<file path=xl/tables/table22.xml><?xml version="1.0" encoding="utf-8"?>
<table xmlns="http://schemas.openxmlformats.org/spreadsheetml/2006/main" id="22" name="Table1023" displayName="Table1023" ref="G35:J39" totalsRowCount="1" headerRowDxfId="1475" dataDxfId="1474" totalsRowDxfId="1473" tableBorderDxfId="1472">
  <autoFilter ref="G35:J38"/>
  <tableColumns count="4">
    <tableColumn id="1" name="Llogari kursimi" totalsRowLabel="Total" dataDxfId="1470" totalsRowDxfId="1471"/>
    <tableColumn id="2" name="Kosto e parashikuar" totalsRowFunction="sum" dataDxfId="1468" totalsRowDxfId="1469"/>
    <tableColumn id="3" name="Kosto faktike" totalsRowFunction="sum" dataDxfId="1466" totalsRowDxfId="1467"/>
    <tableColumn id="4" name="Diferenca" totalsRowFunction="sum" dataDxfId="1464" totalsRowDxfId="1465">
      <calculatedColumnFormula>Table1023[Kosto e parashikuar]-Table1023[Kosto faktike]</calculatedColumnFormula>
    </tableColumn>
  </tableColumns>
  <tableStyleInfo name="TableStyleMedium23" showFirstColumn="0" showLastColumn="0" showRowStripes="1" showColumnStripes="0"/>
</table>
</file>

<file path=xl/tables/table23.xml><?xml version="1.0" encoding="utf-8"?>
<table xmlns="http://schemas.openxmlformats.org/spreadsheetml/2006/main" id="23" name="Table724" displayName="Table724" ref="B53:E59" totalsRowCount="1" headerRowDxfId="1463" dataDxfId="1462" totalsRowDxfId="1461" tableBorderDxfId="1460">
  <autoFilter ref="B53:E58"/>
  <tableColumns count="4">
    <tableColumn id="1" name="Shpenzime personale" totalsRowLabel="Total" dataDxfId="1458" totalsRowDxfId="1459"/>
    <tableColumn id="2" name="Kosto e parashikuar" totalsRowFunction="sum" dataDxfId="1456" totalsRowDxfId="1457"/>
    <tableColumn id="3" name="Kosto faktike" totalsRowFunction="sum" dataDxfId="1454" totalsRowDxfId="1455"/>
    <tableColumn id="4" name="Diferenca" totalsRowFunction="sum" dataDxfId="1452" totalsRowDxfId="1453">
      <calculatedColumnFormula>Table724[Kosto e parashikuar]-Table724[Kosto faktike]</calculatedColumnFormula>
    </tableColumn>
  </tableColumns>
  <tableStyleInfo name="TableStyleMedium23" showFirstColumn="0" showLastColumn="0" showRowStripes="1" showColumnStripes="0"/>
</table>
</file>

<file path=xl/tables/table24.xml><?xml version="1.0" encoding="utf-8"?>
<table xmlns="http://schemas.openxmlformats.org/spreadsheetml/2006/main" id="24" name="Table225" displayName="Table225" ref="G11:J17" totalsRowCount="1" headerRowDxfId="1451" dataDxfId="1450" totalsRowDxfId="1449" tableBorderDxfId="1448">
  <autoFilter ref="G11:J16"/>
  <tableColumns count="4">
    <tableColumn id="1" name="Koha e lire" totalsRowLabel="Total" dataDxfId="1446" totalsRowDxfId="1447"/>
    <tableColumn id="2" name="Kosto e parashikuar" totalsRowFunction="sum" dataDxfId="1444" totalsRowDxfId="1445"/>
    <tableColumn id="3" name="Kosto faktike" totalsRowFunction="sum" dataDxfId="1442" totalsRowDxfId="1443"/>
    <tableColumn id="4" name="Diferenca" totalsRowFunction="sum" dataDxfId="1440" totalsRowDxfId="1441">
      <calculatedColumnFormula>Table225[Kosto e parashikuar]-Table225[Kosto faktike]</calculatedColumnFormula>
    </tableColumn>
  </tableColumns>
  <tableStyleInfo name="TableStyleMedium23" showFirstColumn="0" showLastColumn="0" showRowStripes="1" showColumnStripes="0"/>
</table>
</file>

<file path=xl/tables/table25.xml><?xml version="1.0" encoding="utf-8"?>
<table xmlns="http://schemas.openxmlformats.org/spreadsheetml/2006/main" id="25" name="Table11426" displayName="Table11426" ref="B11:E21" totalsRowCount="1" headerRowDxfId="1439" dataDxfId="1438" totalsRowDxfId="1437" tableBorderDxfId="1436">
  <autoFilter ref="B11:E20"/>
  <tableColumns count="4">
    <tableColumn id="1" name="Shtepia" totalsRowLabel="Total" dataDxfId="1434" totalsRowDxfId="1435" dataCellStyle="Normal 16"/>
    <tableColumn id="2" name="Kosto e parashikuar" totalsRowFunction="sum" dataDxfId="1432" totalsRowDxfId="1433" dataCellStyle="Normal 16"/>
    <tableColumn id="3" name="Kosto faktike" totalsRowFunction="sum" dataDxfId="1430" totalsRowDxfId="1431" dataCellStyle="Normal 16"/>
    <tableColumn id="4" name="Diferenca" totalsRowFunction="sum" dataDxfId="1428" totalsRowDxfId="1429" dataCellStyle="Normal 16">
      <calculatedColumnFormula>Table11426[Kosto e parashikuar]-Table11426[Kosto faktike]</calculatedColumnFormula>
    </tableColumn>
  </tableColumns>
  <tableStyleInfo name="TableStyleMedium23" showFirstColumn="0" showLastColumn="0" showRowStripes="1" showColumnStripes="0"/>
</table>
</file>

<file path=xl/tables/table26.xml><?xml version="1.0" encoding="utf-8"?>
<table xmlns="http://schemas.openxmlformats.org/spreadsheetml/2006/main" id="26" name="Table41527" displayName="Table41527" ref="B33:E37" totalsRowCount="1" headerRowDxfId="1427" dataDxfId="1426" totalsRowDxfId="1425" tableBorderDxfId="1424">
  <autoFilter ref="B33:E36"/>
  <tableColumns count="4">
    <tableColumn id="1" name="Siguracioni" totalsRowLabel="Total" dataDxfId="1422" totalsRowDxfId="1423"/>
    <tableColumn id="2" name="Kosto e parashikuar" totalsRowFunction="sum" dataDxfId="1420" totalsRowDxfId="1421"/>
    <tableColumn id="3" name="Kosto faktike" totalsRowFunction="sum" dataDxfId="1418" totalsRowDxfId="1419"/>
    <tableColumn id="4" name="Diferenca" totalsRowFunction="sum" dataDxfId="1416" totalsRowDxfId="1417">
      <calculatedColumnFormula>Table41527[Kosto e parashikuar]-Table41527[Kosto faktike]</calculatedColumnFormula>
    </tableColumn>
  </tableColumns>
  <tableStyleInfo name="TableStyleMedium23" showFirstColumn="0" showLastColumn="0" showRowStripes="1" showColumnStripes="0"/>
</table>
</file>

<file path=xl/tables/table27.xml><?xml version="1.0" encoding="utf-8"?>
<table xmlns="http://schemas.openxmlformats.org/spreadsheetml/2006/main" id="27" name="Table121628" displayName="Table121628" ref="G47:J52" totalsRowCount="1" headerRowDxfId="1415" dataDxfId="1414" totalsRowDxfId="1413" tableBorderDxfId="1412">
  <autoFilter ref="G47:J51"/>
  <tableColumns count="4">
    <tableColumn id="1" name="Te tjera sipas nevojave" totalsRowLabel="Total" dataDxfId="1410" totalsRowDxfId="1411"/>
    <tableColumn id="2" name="Kosto e parashikuar" totalsRowFunction="sum" dataDxfId="1408" totalsRowDxfId="1409"/>
    <tableColumn id="3" name="Kosto faktike" totalsRowFunction="sum" dataDxfId="1406" totalsRowDxfId="1407"/>
    <tableColumn id="4" name="Diferenca" totalsRowFunction="sum" dataDxfId="1404" totalsRowDxfId="1405">
      <calculatedColumnFormula>Table121628[Kosto e parashikuar]-Table121628[Kosto faktike]</calculatedColumnFormula>
    </tableColumn>
  </tableColumns>
  <tableStyleInfo name="TableStyleMedium23" showFirstColumn="0" showLastColumn="0" showRowStripes="1" showColumnStripes="0"/>
</table>
</file>

<file path=xl/tables/table28.xml><?xml version="1.0" encoding="utf-8"?>
<table xmlns="http://schemas.openxmlformats.org/spreadsheetml/2006/main" id="28" name="Table61729" displayName="Table61729" ref="B45:E51" totalsRowCount="1" headerRowDxfId="1403" dataDxfId="1402" totalsRowDxfId="1401" tableBorderDxfId="1400">
  <autoFilter ref="B45:E50"/>
  <tableColumns count="4">
    <tableColumn id="1" name="Kafshet e shtepise" totalsRowLabel="Total" dataDxfId="1398" totalsRowDxfId="1399"/>
    <tableColumn id="2" name="Kosto e parashikuar" totalsRowFunction="sum" dataDxfId="1396" totalsRowDxfId="1397"/>
    <tableColumn id="3" name="Kosto faktike" totalsRowFunction="sum" dataDxfId="1394" totalsRowDxfId="1395"/>
    <tableColumn id="4" name="Diferenca" totalsRowFunction="sum" dataDxfId="1392" totalsRowDxfId="1393">
      <calculatedColumnFormula>Table61729[Kosto e parashikuar]-Table61729[Kosto faktike]</calculatedColumnFormula>
    </tableColumn>
  </tableColumns>
  <tableStyleInfo name="TableStyleMedium23" showFirstColumn="0" showLastColumn="0" showRowStripes="1" showColumnStripes="0"/>
</table>
</file>

<file path=xl/tables/table29.xml><?xml version="1.0" encoding="utf-8"?>
<table xmlns="http://schemas.openxmlformats.org/spreadsheetml/2006/main" id="29" name="Table111830" displayName="Table111830" ref="G41:J45" totalsRowCount="1" headerRowDxfId="1391" dataDxfId="1390" totalsRowDxfId="1389" tableBorderDxfId="1388">
  <autoFilter ref="G41:J44"/>
  <tableColumns count="4">
    <tableColumn id="1" name="Donacione" totalsRowLabel="Total" dataDxfId="1386" totalsRowDxfId="1387"/>
    <tableColumn id="2" name="Kosto e parashikuar" totalsRowFunction="sum" dataDxfId="1384" totalsRowDxfId="1385"/>
    <tableColumn id="3" name="Kosto faktike" totalsRowFunction="sum" dataDxfId="1382" totalsRowDxfId="1383"/>
    <tableColumn id="4" name="Diferenca" totalsRowFunction="sum" dataDxfId="1380" totalsRowDxfId="1381">
      <calculatedColumnFormula>Table111830[Kosto e parashikuar]-Table111830[Kosto faktike]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3" name="Table12" displayName="Table12" ref="G47:J52" totalsRowCount="1" headerRowDxfId="1703" dataDxfId="1702" totalsRowDxfId="1700" tableBorderDxfId="1701">
  <autoFilter ref="G47:J51"/>
  <tableColumns count="4">
    <tableColumn id="1" name="Te tjera sipas nevojave" totalsRowLabel="Total" dataDxfId="1699" totalsRowDxfId="1698"/>
    <tableColumn id="2" name="Kosto e parashikuar" totalsRowFunction="sum" dataDxfId="1697" totalsRowDxfId="1696"/>
    <tableColumn id="3" name="Kosto faktike" totalsRowFunction="sum" dataDxfId="1695" totalsRowDxfId="1694"/>
    <tableColumn id="4" name="Diferenca" totalsRowFunction="sum" dataDxfId="1693" totalsRowDxfId="1692">
      <calculatedColumnFormula>Table12[Kosto e parashikuar]-Table12[Kosto faktike]</calculatedColumnFormula>
    </tableColumn>
  </tableColumns>
  <tableStyleInfo name="TableStyleMedium23" showFirstColumn="0" showLastColumn="0" showRowStripes="1" showColumnStripes="0"/>
</table>
</file>

<file path=xl/tables/table30.xml><?xml version="1.0" encoding="utf-8"?>
<table xmlns="http://schemas.openxmlformats.org/spreadsheetml/2006/main" id="30" name="Table51931" displayName="Table51931" ref="B39:E43" totalsRowCount="1" headerRowDxfId="1379" dataDxfId="1378" totalsRowDxfId="1377" tableBorderDxfId="1376">
  <autoFilter ref="B39:E42"/>
  <tableColumns count="4">
    <tableColumn id="1" name="Ushqimi" totalsRowLabel="Total" dataDxfId="1374" totalsRowDxfId="1375"/>
    <tableColumn id="2" name="Kosto e parashikuar" totalsRowFunction="sum" dataDxfId="1372" totalsRowDxfId="1373"/>
    <tableColumn id="3" name="Kosto faktike" totalsRowFunction="sum" dataDxfId="1370" totalsRowDxfId="1371"/>
    <tableColumn id="4" name="Diferenca" totalsRowFunction="sum" dataDxfId="1368" totalsRowDxfId="1369">
      <calculatedColumnFormula>Table51931[Kosto e parashikuar]-Table51931[Kosto faktike]</calculatedColumnFormula>
    </tableColumn>
  </tableColumns>
  <tableStyleInfo name="TableStyleMedium23" showFirstColumn="0" showLastColumn="0" showRowStripes="1" showColumnStripes="0"/>
</table>
</file>

<file path=xl/tables/table31.xml><?xml version="1.0" encoding="utf-8"?>
<table xmlns="http://schemas.openxmlformats.org/spreadsheetml/2006/main" id="31" name="Table92032" displayName="Table92032" ref="G28:J33" totalsRowCount="1" headerRowDxfId="1367" dataDxfId="1366" totalsRowDxfId="1365" tableBorderDxfId="1364">
  <autoFilter ref="G28:J32"/>
  <tableColumns count="4">
    <tableColumn id="1" name="Taksa" totalsRowLabel="Total" dataDxfId="1362" totalsRowDxfId="1363"/>
    <tableColumn id="2" name="Kosto e parashikuar" totalsRowFunction="sum" dataDxfId="1360" totalsRowDxfId="1361"/>
    <tableColumn id="3" name="Kosto faktike" totalsRowFunction="sum" dataDxfId="1358" totalsRowDxfId="1359"/>
    <tableColumn id="4" name="Diferenca" totalsRowFunction="sum" dataDxfId="1356" totalsRowDxfId="1357">
      <calculatedColumnFormula>Table92032[Kosto e parashikuar]-Table92032[Kosto faktike]</calculatedColumnFormula>
    </tableColumn>
  </tableColumns>
  <tableStyleInfo name="TableStyleMedium23" showFirstColumn="0" showLastColumn="0" showRowStripes="1" showColumnStripes="0"/>
</table>
</file>

<file path=xl/tables/table32.xml><?xml version="1.0" encoding="utf-8"?>
<table xmlns="http://schemas.openxmlformats.org/spreadsheetml/2006/main" id="32" name="Table32133" displayName="Table32133" ref="B23:E31" totalsRowCount="1" headerRowDxfId="1355" dataDxfId="1354" totalsRowDxfId="1353" tableBorderDxfId="1352">
  <autoFilter ref="B23:E30"/>
  <tableColumns count="4">
    <tableColumn id="1" name="Transport" totalsRowLabel="Total" dataDxfId="1350" totalsRowDxfId="1351"/>
    <tableColumn id="2" name="Kosto e parashikuar" totalsRowFunction="sum" dataDxfId="1348" totalsRowDxfId="1349"/>
    <tableColumn id="3" name="Kosto faktike" totalsRowFunction="sum" dataDxfId="1346" totalsRowDxfId="1347"/>
    <tableColumn id="4" name="Diferenca" totalsRowFunction="sum" dataDxfId="1344" totalsRowDxfId="1345">
      <calculatedColumnFormula>Table32133[Kosto e parashikuar]-Table32133[Kosto faktike]</calculatedColumnFormula>
    </tableColumn>
  </tableColumns>
  <tableStyleInfo name="TableStyleMedium23" showFirstColumn="0" showLastColumn="0" showRowStripes="1" showColumnStripes="0"/>
</table>
</file>

<file path=xl/tables/table33.xml><?xml version="1.0" encoding="utf-8"?>
<table xmlns="http://schemas.openxmlformats.org/spreadsheetml/2006/main" id="33" name="Table82234" displayName="Table82234" ref="G19:J26" totalsRowCount="1" headerRowDxfId="1343" dataDxfId="1342" totalsRowDxfId="1341" tableBorderDxfId="1340">
  <autoFilter ref="G19:J25"/>
  <tableColumns count="4">
    <tableColumn id="1" name="Kredia" totalsRowLabel="Total" dataDxfId="1338" totalsRowDxfId="1339"/>
    <tableColumn id="2" name="Kosto e parashikuar" totalsRowFunction="sum" dataDxfId="1336" totalsRowDxfId="1337"/>
    <tableColumn id="3" name="Kosto faktike" totalsRowFunction="sum" dataDxfId="1334" totalsRowDxfId="1335"/>
    <tableColumn id="4" name="Diferenca" totalsRowFunction="sum" dataDxfId="1332" totalsRowDxfId="1333">
      <calculatedColumnFormula>Table82234[Kosto e parashikuar]-Table82234[Kosto faktike]</calculatedColumnFormula>
    </tableColumn>
  </tableColumns>
  <tableStyleInfo name="TableStyleMedium23" showFirstColumn="0" showLastColumn="0" showRowStripes="1" showColumnStripes="0"/>
</table>
</file>

<file path=xl/tables/table34.xml><?xml version="1.0" encoding="utf-8"?>
<table xmlns="http://schemas.openxmlformats.org/spreadsheetml/2006/main" id="34" name="Table102335" displayName="Table102335" ref="G35:J39" totalsRowCount="1" headerRowDxfId="1331" dataDxfId="1330" totalsRowDxfId="1329" tableBorderDxfId="1328">
  <autoFilter ref="G35:J38"/>
  <tableColumns count="4">
    <tableColumn id="1" name="Llogari kursimi" totalsRowLabel="Total" dataDxfId="1326" totalsRowDxfId="1327"/>
    <tableColumn id="2" name="Kosto e parashikuar" totalsRowFunction="sum" dataDxfId="1324" totalsRowDxfId="1325"/>
    <tableColumn id="3" name="Kosto faktike" totalsRowFunction="sum" dataDxfId="1322" totalsRowDxfId="1323"/>
    <tableColumn id="4" name="Diferenca" totalsRowFunction="sum" dataDxfId="1320" totalsRowDxfId="1321">
      <calculatedColumnFormula>Table102335[Kosto e parashikuar]-Table102335[Kosto faktike]</calculatedColumnFormula>
    </tableColumn>
  </tableColumns>
  <tableStyleInfo name="TableStyleMedium23" showFirstColumn="0" showLastColumn="0" showRowStripes="1" showColumnStripes="0"/>
</table>
</file>

<file path=xl/tables/table35.xml><?xml version="1.0" encoding="utf-8"?>
<table xmlns="http://schemas.openxmlformats.org/spreadsheetml/2006/main" id="35" name="Table72436" displayName="Table72436" ref="B53:E59" totalsRowCount="1" headerRowDxfId="1319" dataDxfId="1318" totalsRowDxfId="1317" tableBorderDxfId="1316">
  <autoFilter ref="B53:E58"/>
  <tableColumns count="4">
    <tableColumn id="1" name="Shpenzime personale" totalsRowLabel="Total" dataDxfId="1314" totalsRowDxfId="1315"/>
    <tableColumn id="2" name="Kosto e parashikuar" totalsRowFunction="sum" dataDxfId="1312" totalsRowDxfId="1313"/>
    <tableColumn id="3" name="Kosto faktike" totalsRowFunction="sum" dataDxfId="1310" totalsRowDxfId="1311"/>
    <tableColumn id="4" name="Diferenca" totalsRowFunction="sum" dataDxfId="1308" totalsRowDxfId="1309">
      <calculatedColumnFormula>Table72436[Kosto e parashikuar]-Table72436[Kosto faktike]</calculatedColumnFormula>
    </tableColumn>
  </tableColumns>
  <tableStyleInfo name="TableStyleMedium23" showFirstColumn="0" showLastColumn="0" showRowStripes="1" showColumnStripes="0"/>
</table>
</file>

<file path=xl/tables/table36.xml><?xml version="1.0" encoding="utf-8"?>
<table xmlns="http://schemas.openxmlformats.org/spreadsheetml/2006/main" id="36" name="Table22537" displayName="Table22537" ref="G11:J17" totalsRowCount="1" headerRowDxfId="1307" dataDxfId="1306" totalsRowDxfId="1305" tableBorderDxfId="1304">
  <autoFilter ref="G11:J16"/>
  <tableColumns count="4">
    <tableColumn id="1" name="Koha e lire" totalsRowLabel="Total" dataDxfId="1302" totalsRowDxfId="1303"/>
    <tableColumn id="2" name="Kosto e parashikuar" totalsRowFunction="sum" dataDxfId="1300" totalsRowDxfId="1301"/>
    <tableColumn id="3" name="Kosto faktike" totalsRowFunction="sum" dataDxfId="1298" totalsRowDxfId="1299"/>
    <tableColumn id="4" name="Diferenca" totalsRowFunction="sum" dataDxfId="1296" totalsRowDxfId="1297">
      <calculatedColumnFormula>Table22537[Kosto e parashikuar]-Table22537[Kosto faktike]</calculatedColumnFormula>
    </tableColumn>
  </tableColumns>
  <tableStyleInfo name="TableStyleMedium23" showFirstColumn="0" showLastColumn="0" showRowStripes="1" showColumnStripes="0"/>
</table>
</file>

<file path=xl/tables/table37.xml><?xml version="1.0" encoding="utf-8"?>
<table xmlns="http://schemas.openxmlformats.org/spreadsheetml/2006/main" id="37" name="Table1142638" displayName="Table1142638" ref="B11:E21" totalsRowCount="1" headerRowDxfId="1295" dataDxfId="1294" totalsRowDxfId="1293" tableBorderDxfId="1292">
  <autoFilter ref="B11:E20"/>
  <tableColumns count="4">
    <tableColumn id="1" name="Shtepia" totalsRowLabel="Total" dataDxfId="1290" totalsRowDxfId="1291" dataCellStyle="Normal 16"/>
    <tableColumn id="2" name="Kosto e parashikuar" totalsRowFunction="sum" dataDxfId="1288" totalsRowDxfId="1289" dataCellStyle="Normal 16"/>
    <tableColumn id="3" name="Kosto faktike" totalsRowFunction="sum" dataDxfId="1286" totalsRowDxfId="1287" dataCellStyle="Normal 16"/>
    <tableColumn id="4" name="Diferenca" totalsRowFunction="sum" dataDxfId="1284" totalsRowDxfId="1285" dataCellStyle="Normal 16">
      <calculatedColumnFormula>Table1142638[Kosto e parashikuar]-Table1142638[Kosto faktike]</calculatedColumnFormula>
    </tableColumn>
  </tableColumns>
  <tableStyleInfo name="TableStyleMedium23" showFirstColumn="0" showLastColumn="0" showRowStripes="1" showColumnStripes="0"/>
</table>
</file>

<file path=xl/tables/table38.xml><?xml version="1.0" encoding="utf-8"?>
<table xmlns="http://schemas.openxmlformats.org/spreadsheetml/2006/main" id="38" name="Table4152739" displayName="Table4152739" ref="B33:E37" totalsRowCount="1" headerRowDxfId="1283" dataDxfId="1282" totalsRowDxfId="1281" tableBorderDxfId="1280">
  <autoFilter ref="B33:E36"/>
  <tableColumns count="4">
    <tableColumn id="1" name="Siguracioni" totalsRowLabel="Total" dataDxfId="1278" totalsRowDxfId="1279"/>
    <tableColumn id="2" name="Kosto e parashikuar" totalsRowFunction="sum" dataDxfId="1276" totalsRowDxfId="1277"/>
    <tableColumn id="3" name="Kosto faktike" totalsRowFunction="sum" dataDxfId="1274" totalsRowDxfId="1275"/>
    <tableColumn id="4" name="Diferenca" totalsRowFunction="sum" dataDxfId="1272" totalsRowDxfId="1273">
      <calculatedColumnFormula>Table4152739[Kosto e parashikuar]-Table4152739[Kosto faktike]</calculatedColumnFormula>
    </tableColumn>
  </tableColumns>
  <tableStyleInfo name="TableStyleMedium23" showFirstColumn="0" showLastColumn="0" showRowStripes="1" showColumnStripes="0"/>
</table>
</file>

<file path=xl/tables/table39.xml><?xml version="1.0" encoding="utf-8"?>
<table xmlns="http://schemas.openxmlformats.org/spreadsheetml/2006/main" id="39" name="Table12162840" displayName="Table12162840" ref="G47:J52" totalsRowCount="1" headerRowDxfId="1271" dataDxfId="1270" totalsRowDxfId="1269" tableBorderDxfId="1268">
  <autoFilter ref="G47:J51"/>
  <tableColumns count="4">
    <tableColumn id="1" name="Te tjera sipas nevojave" totalsRowLabel="Total" dataDxfId="1266" totalsRowDxfId="1267"/>
    <tableColumn id="2" name="Kosto e parashikuar" totalsRowFunction="sum" dataDxfId="1264" totalsRowDxfId="1265"/>
    <tableColumn id="3" name="Kosto faktike" totalsRowFunction="sum" dataDxfId="1262" totalsRowDxfId="1263"/>
    <tableColumn id="4" name="Diferenca" totalsRowFunction="sum" dataDxfId="1260" totalsRowDxfId="1261">
      <calculatedColumnFormula>Table12162840[Kosto e parashikuar]-Table12162840[Kosto faktike]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4" name="Table6" displayName="Table6" ref="B45:E51" totalsRowCount="1" headerRowDxfId="1691" dataDxfId="1690" totalsRowDxfId="1688" tableBorderDxfId="1689">
  <autoFilter ref="B45:E50"/>
  <tableColumns count="4">
    <tableColumn id="1" name="Kafshet e shtepise" totalsRowLabel="Total" dataDxfId="1687" totalsRowDxfId="1686"/>
    <tableColumn id="2" name="Kosto e parashikuar" totalsRowFunction="sum" dataDxfId="1685" totalsRowDxfId="1684"/>
    <tableColumn id="3" name="Kosto faktike" totalsRowFunction="sum" dataDxfId="1683" totalsRowDxfId="1682"/>
    <tableColumn id="4" name="Diferenca" totalsRowFunction="sum" dataDxfId="1681" totalsRowDxfId="1680">
      <calculatedColumnFormula>Table6[Kosto e parashikuar]-Table6[Kosto faktike]</calculatedColumnFormula>
    </tableColumn>
  </tableColumns>
  <tableStyleInfo name="TableStyleMedium23" showFirstColumn="0" showLastColumn="0" showRowStripes="1" showColumnStripes="0"/>
</table>
</file>

<file path=xl/tables/table40.xml><?xml version="1.0" encoding="utf-8"?>
<table xmlns="http://schemas.openxmlformats.org/spreadsheetml/2006/main" id="40" name="Table6172941" displayName="Table6172941" ref="B45:E51" totalsRowCount="1" headerRowDxfId="1259" dataDxfId="1258" totalsRowDxfId="1257" tableBorderDxfId="1256">
  <autoFilter ref="B45:E50"/>
  <tableColumns count="4">
    <tableColumn id="1" name="Kafshet e shtepise" totalsRowLabel="Total" dataDxfId="1254" totalsRowDxfId="1255"/>
    <tableColumn id="2" name="Kosto e parashikuar" totalsRowFunction="sum" dataDxfId="1252" totalsRowDxfId="1253"/>
    <tableColumn id="3" name="Kosto faktike" totalsRowFunction="sum" dataDxfId="1250" totalsRowDxfId="1251"/>
    <tableColumn id="4" name="Diferenca" totalsRowFunction="sum" dataDxfId="1248" totalsRowDxfId="1249">
      <calculatedColumnFormula>Table6172941[Kosto e parashikuar]-Table6172941[Kosto faktike]</calculatedColumnFormula>
    </tableColumn>
  </tableColumns>
  <tableStyleInfo name="TableStyleMedium23" showFirstColumn="0" showLastColumn="0" showRowStripes="1" showColumnStripes="0"/>
</table>
</file>

<file path=xl/tables/table41.xml><?xml version="1.0" encoding="utf-8"?>
<table xmlns="http://schemas.openxmlformats.org/spreadsheetml/2006/main" id="41" name="Table11183042" displayName="Table11183042" ref="G41:J45" totalsRowCount="1" headerRowDxfId="1247" dataDxfId="1246" totalsRowDxfId="1245" tableBorderDxfId="1244">
  <autoFilter ref="G41:J44"/>
  <tableColumns count="4">
    <tableColumn id="1" name="Donacione" totalsRowLabel="Total" dataDxfId="1242" totalsRowDxfId="1243"/>
    <tableColumn id="2" name="Kosto e parashikuar" totalsRowFunction="sum" dataDxfId="1240" totalsRowDxfId="1241"/>
    <tableColumn id="3" name="Kosto faktike" totalsRowFunction="sum" dataDxfId="1238" totalsRowDxfId="1239"/>
    <tableColumn id="4" name="Diferenca" totalsRowFunction="sum" dataDxfId="1236" totalsRowDxfId="1237">
      <calculatedColumnFormula>Table11183042[Kosto e parashikuar]-Table11183042[Kosto faktike]</calculatedColumnFormula>
    </tableColumn>
  </tableColumns>
  <tableStyleInfo name="TableStyleMedium23" showFirstColumn="0" showLastColumn="0" showRowStripes="1" showColumnStripes="0"/>
</table>
</file>

<file path=xl/tables/table42.xml><?xml version="1.0" encoding="utf-8"?>
<table xmlns="http://schemas.openxmlformats.org/spreadsheetml/2006/main" id="42" name="Table5193143" displayName="Table5193143" ref="B39:E43" totalsRowCount="1" headerRowDxfId="1235" dataDxfId="1234" totalsRowDxfId="1233" tableBorderDxfId="1232">
  <autoFilter ref="B39:E42"/>
  <tableColumns count="4">
    <tableColumn id="1" name="Ushqimi" totalsRowLabel="Total" dataDxfId="1230" totalsRowDxfId="1231"/>
    <tableColumn id="2" name="Kosto e parashikuar" totalsRowFunction="sum" dataDxfId="1228" totalsRowDxfId="1229"/>
    <tableColumn id="3" name="Kosto faktike" totalsRowFunction="sum" dataDxfId="1226" totalsRowDxfId="1227"/>
    <tableColumn id="4" name="Diferenca" totalsRowFunction="sum" dataDxfId="1224" totalsRowDxfId="1225">
      <calculatedColumnFormula>Table5193143[Kosto e parashikuar]-Table5193143[Kosto faktike]</calculatedColumnFormula>
    </tableColumn>
  </tableColumns>
  <tableStyleInfo name="TableStyleMedium23" showFirstColumn="0" showLastColumn="0" showRowStripes="1" showColumnStripes="0"/>
</table>
</file>

<file path=xl/tables/table43.xml><?xml version="1.0" encoding="utf-8"?>
<table xmlns="http://schemas.openxmlformats.org/spreadsheetml/2006/main" id="43" name="Table9203244" displayName="Table9203244" ref="G28:J33" totalsRowCount="1" headerRowDxfId="1223" dataDxfId="1222" totalsRowDxfId="1221" tableBorderDxfId="1220">
  <autoFilter ref="G28:J32"/>
  <tableColumns count="4">
    <tableColumn id="1" name="Taksa" totalsRowLabel="Total" dataDxfId="1218" totalsRowDxfId="1219"/>
    <tableColumn id="2" name="Kosto e parashikuar" totalsRowFunction="sum" dataDxfId="1216" totalsRowDxfId="1217"/>
    <tableColumn id="3" name="Kosto faktike" totalsRowFunction="sum" dataDxfId="1214" totalsRowDxfId="1215"/>
    <tableColumn id="4" name="Diferenca" totalsRowFunction="sum" dataDxfId="1212" totalsRowDxfId="1213">
      <calculatedColumnFormula>Table9203244[Kosto e parashikuar]-Table9203244[Kosto faktike]</calculatedColumnFormula>
    </tableColumn>
  </tableColumns>
  <tableStyleInfo name="TableStyleMedium23" showFirstColumn="0" showLastColumn="0" showRowStripes="1" showColumnStripes="0"/>
</table>
</file>

<file path=xl/tables/table44.xml><?xml version="1.0" encoding="utf-8"?>
<table xmlns="http://schemas.openxmlformats.org/spreadsheetml/2006/main" id="44" name="Table3213345" displayName="Table3213345" ref="B23:E31" totalsRowCount="1" headerRowDxfId="1211" dataDxfId="1210" totalsRowDxfId="1209" tableBorderDxfId="1208">
  <autoFilter ref="B23:E30"/>
  <tableColumns count="4">
    <tableColumn id="1" name="Transport" totalsRowLabel="Total" dataDxfId="1206" totalsRowDxfId="1207"/>
    <tableColumn id="2" name="Kosto e parashikuar" totalsRowFunction="sum" dataDxfId="1204" totalsRowDxfId="1205"/>
    <tableColumn id="3" name="Kosto faktike" totalsRowFunction="sum" dataDxfId="1202" totalsRowDxfId="1203"/>
    <tableColumn id="4" name="Diferenca" totalsRowFunction="sum" dataDxfId="1200" totalsRowDxfId="1201">
      <calculatedColumnFormula>Table3213345[Kosto e parashikuar]-Table3213345[Kosto faktike]</calculatedColumnFormula>
    </tableColumn>
  </tableColumns>
  <tableStyleInfo name="TableStyleMedium23" showFirstColumn="0" showLastColumn="0" showRowStripes="1" showColumnStripes="0"/>
</table>
</file>

<file path=xl/tables/table45.xml><?xml version="1.0" encoding="utf-8"?>
<table xmlns="http://schemas.openxmlformats.org/spreadsheetml/2006/main" id="45" name="Table8223446" displayName="Table8223446" ref="G19:J26" totalsRowCount="1" headerRowDxfId="1199" dataDxfId="1198" totalsRowDxfId="1197" tableBorderDxfId="1196">
  <autoFilter ref="G19:J25"/>
  <tableColumns count="4">
    <tableColumn id="1" name="Kredia" totalsRowLabel="Total" dataDxfId="1194" totalsRowDxfId="1195"/>
    <tableColumn id="2" name="Kosto e parashikuar" totalsRowFunction="sum" dataDxfId="1192" totalsRowDxfId="1193"/>
    <tableColumn id="3" name="Kosto faktike" totalsRowFunction="sum" dataDxfId="1190" totalsRowDxfId="1191"/>
    <tableColumn id="4" name="Diferenca" totalsRowFunction="sum" dataDxfId="1188" totalsRowDxfId="1189">
      <calculatedColumnFormula>Table8223446[Kosto e parashikuar]-Table8223446[Kosto faktike]</calculatedColumnFormula>
    </tableColumn>
  </tableColumns>
  <tableStyleInfo name="TableStyleMedium23" showFirstColumn="0" showLastColumn="0" showRowStripes="1" showColumnStripes="0"/>
</table>
</file>

<file path=xl/tables/table46.xml><?xml version="1.0" encoding="utf-8"?>
<table xmlns="http://schemas.openxmlformats.org/spreadsheetml/2006/main" id="46" name="Table10233547" displayName="Table10233547" ref="G35:J39" totalsRowCount="1" headerRowDxfId="1187" dataDxfId="1186" totalsRowDxfId="1185" tableBorderDxfId="1184">
  <autoFilter ref="G35:J38"/>
  <tableColumns count="4">
    <tableColumn id="1" name="Llogari kursimi" totalsRowLabel="Total" dataDxfId="1182" totalsRowDxfId="1183"/>
    <tableColumn id="2" name="Kosto e parashikuar" totalsRowFunction="sum" dataDxfId="1180" totalsRowDxfId="1181"/>
    <tableColumn id="3" name="Kosto faktike" totalsRowFunction="sum" dataDxfId="1178" totalsRowDxfId="1179"/>
    <tableColumn id="4" name="Diferenca" totalsRowFunction="sum" dataDxfId="1176" totalsRowDxfId="1177">
      <calculatedColumnFormula>Table10233547[Kosto e parashikuar]-Table10233547[Kosto faktike]</calculatedColumnFormula>
    </tableColumn>
  </tableColumns>
  <tableStyleInfo name="TableStyleMedium23" showFirstColumn="0" showLastColumn="0" showRowStripes="1" showColumnStripes="0"/>
</table>
</file>

<file path=xl/tables/table47.xml><?xml version="1.0" encoding="utf-8"?>
<table xmlns="http://schemas.openxmlformats.org/spreadsheetml/2006/main" id="47" name="Table7243648" displayName="Table7243648" ref="B53:E59" totalsRowCount="1" headerRowDxfId="1175" dataDxfId="1174" totalsRowDxfId="1173" tableBorderDxfId="1172">
  <autoFilter ref="B53:E58"/>
  <tableColumns count="4">
    <tableColumn id="1" name="Shpenzime personale" totalsRowLabel="Total" dataDxfId="1170" totalsRowDxfId="1171"/>
    <tableColumn id="2" name="Kosto e parashikuar" totalsRowFunction="sum" dataDxfId="1168" totalsRowDxfId="1169"/>
    <tableColumn id="3" name="Kosto faktike" totalsRowFunction="sum" dataDxfId="1166" totalsRowDxfId="1167"/>
    <tableColumn id="4" name="Diferenca" totalsRowFunction="sum" dataDxfId="1164" totalsRowDxfId="1165">
      <calculatedColumnFormula>Table7243648[Kosto e parashikuar]-Table7243648[Kosto faktike]</calculatedColumnFormula>
    </tableColumn>
  </tableColumns>
  <tableStyleInfo name="TableStyleMedium23" showFirstColumn="0" showLastColumn="0" showRowStripes="1" showColumnStripes="0"/>
</table>
</file>

<file path=xl/tables/table48.xml><?xml version="1.0" encoding="utf-8"?>
<table xmlns="http://schemas.openxmlformats.org/spreadsheetml/2006/main" id="48" name="Table2253749" displayName="Table2253749" ref="G11:J17" totalsRowCount="1" headerRowDxfId="1163" dataDxfId="1162" totalsRowDxfId="1161" tableBorderDxfId="1160">
  <autoFilter ref="G11:J16"/>
  <tableColumns count="4">
    <tableColumn id="1" name="Koha e lire" totalsRowLabel="Total" dataDxfId="1158" totalsRowDxfId="1159"/>
    <tableColumn id="2" name="Kosto e parashikuar" totalsRowFunction="sum" dataDxfId="1156" totalsRowDxfId="1157"/>
    <tableColumn id="3" name="Kosto faktike" totalsRowFunction="sum" dataDxfId="1154" totalsRowDxfId="1155"/>
    <tableColumn id="4" name="Diferenca" totalsRowFunction="sum" dataDxfId="1152" totalsRowDxfId="1153">
      <calculatedColumnFormula>Table2253749[Kosto e parashikuar]-Table2253749[Kosto faktike]</calculatedColumnFormula>
    </tableColumn>
  </tableColumns>
  <tableStyleInfo name="TableStyleMedium23" showFirstColumn="0" showLastColumn="0" showRowStripes="1" showColumnStripes="0"/>
</table>
</file>

<file path=xl/tables/table49.xml><?xml version="1.0" encoding="utf-8"?>
<table xmlns="http://schemas.openxmlformats.org/spreadsheetml/2006/main" id="49" name="Table114263850" displayName="Table114263850" ref="B11:E21" totalsRowCount="1" headerRowDxfId="1151" dataDxfId="1150" totalsRowDxfId="1149" tableBorderDxfId="1148">
  <autoFilter ref="B11:E20"/>
  <tableColumns count="4">
    <tableColumn id="1" name="Shtepia" totalsRowLabel="Total" dataDxfId="1146" totalsRowDxfId="1147" dataCellStyle="Normal 16"/>
    <tableColumn id="2" name="Kosto e parashikuar" totalsRowFunction="sum" dataDxfId="1144" totalsRowDxfId="1145" dataCellStyle="Normal 16"/>
    <tableColumn id="3" name="Kosto faktike" totalsRowFunction="sum" dataDxfId="1142" totalsRowDxfId="1143" dataCellStyle="Normal 16"/>
    <tableColumn id="4" name="Diferenca" totalsRowFunction="sum" dataDxfId="1140" totalsRowDxfId="1141" dataCellStyle="Normal 16">
      <calculatedColumnFormula>Table114263850[Kosto e parashikuar]-Table114263850[Kosto faktike]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5" name="Table11" displayName="Table11" ref="G41:J45" totalsRowCount="1" headerRowDxfId="1679" dataDxfId="1678" totalsRowDxfId="1676" tableBorderDxfId="1677">
  <autoFilter ref="G41:J44"/>
  <tableColumns count="4">
    <tableColumn id="1" name="Donacione" totalsRowLabel="Total" dataDxfId="1675" totalsRowDxfId="1674"/>
    <tableColumn id="2" name="Kosto e parashikuar" totalsRowFunction="sum" dataDxfId="1673" totalsRowDxfId="1672"/>
    <tableColumn id="3" name="Kosto faktike" totalsRowFunction="sum" dataDxfId="1671" totalsRowDxfId="1670"/>
    <tableColumn id="4" name="Diferenca" totalsRowFunction="sum" dataDxfId="1669" totalsRowDxfId="1668">
      <calculatedColumnFormula>Table11[Kosto e parashikuar]-Table11[Kosto faktike]</calculatedColumnFormula>
    </tableColumn>
  </tableColumns>
  <tableStyleInfo name="TableStyleMedium23" showFirstColumn="0" showLastColumn="0" showRowStripes="1" showColumnStripes="0"/>
</table>
</file>

<file path=xl/tables/table50.xml><?xml version="1.0" encoding="utf-8"?>
<table xmlns="http://schemas.openxmlformats.org/spreadsheetml/2006/main" id="50" name="Table415273951" displayName="Table415273951" ref="B33:E37" totalsRowCount="1" headerRowDxfId="1139" dataDxfId="1138" totalsRowDxfId="1137" tableBorderDxfId="1136">
  <autoFilter ref="B33:E36"/>
  <tableColumns count="4">
    <tableColumn id="1" name="Siguracioni" totalsRowLabel="Total" dataDxfId="1134" totalsRowDxfId="1135"/>
    <tableColumn id="2" name="Kosto e parashikuar" totalsRowFunction="sum" dataDxfId="1132" totalsRowDxfId="1133"/>
    <tableColumn id="3" name="Kosto faktike" totalsRowFunction="sum" dataDxfId="1130" totalsRowDxfId="1131"/>
    <tableColumn id="4" name="Diferenca" totalsRowFunction="sum" dataDxfId="1128" totalsRowDxfId="1129">
      <calculatedColumnFormula>Table415273951[Kosto e parashikuar]-Table415273951[Kosto faktike]</calculatedColumnFormula>
    </tableColumn>
  </tableColumns>
  <tableStyleInfo name="TableStyleMedium23" showFirstColumn="0" showLastColumn="0" showRowStripes="1" showColumnStripes="0"/>
</table>
</file>

<file path=xl/tables/table51.xml><?xml version="1.0" encoding="utf-8"?>
<table xmlns="http://schemas.openxmlformats.org/spreadsheetml/2006/main" id="51" name="Table1216284052" displayName="Table1216284052" ref="G47:J52" totalsRowCount="1" headerRowDxfId="1127" dataDxfId="1126" totalsRowDxfId="1125" tableBorderDxfId="1124">
  <autoFilter ref="G47:J51"/>
  <tableColumns count="4">
    <tableColumn id="1" name="Te tjera sipas nevojave" totalsRowLabel="Total" dataDxfId="1122" totalsRowDxfId="1123"/>
    <tableColumn id="2" name="Kosto e parashikuar" totalsRowFunction="sum" dataDxfId="1120" totalsRowDxfId="1121"/>
    <tableColumn id="3" name="Kosto faktike" totalsRowFunction="sum" dataDxfId="1118" totalsRowDxfId="1119"/>
    <tableColumn id="4" name="Diferenca" totalsRowFunction="sum" dataDxfId="1116" totalsRowDxfId="1117">
      <calculatedColumnFormula>Table1216284052[Kosto e parashikuar]-Table1216284052[Kosto faktike]</calculatedColumnFormula>
    </tableColumn>
  </tableColumns>
  <tableStyleInfo name="TableStyleMedium23" showFirstColumn="0" showLastColumn="0" showRowStripes="1" showColumnStripes="0"/>
</table>
</file>

<file path=xl/tables/table52.xml><?xml version="1.0" encoding="utf-8"?>
<table xmlns="http://schemas.openxmlformats.org/spreadsheetml/2006/main" id="52" name="Table617294153" displayName="Table617294153" ref="B45:E51" totalsRowCount="1" headerRowDxfId="1115" dataDxfId="1114" totalsRowDxfId="1113" tableBorderDxfId="1112">
  <autoFilter ref="B45:E50"/>
  <tableColumns count="4">
    <tableColumn id="1" name="Kafshet e shtepise" totalsRowLabel="Total" dataDxfId="1110" totalsRowDxfId="1111"/>
    <tableColumn id="2" name="Kosto e parashikuar" totalsRowFunction="sum" dataDxfId="1108" totalsRowDxfId="1109"/>
    <tableColumn id="3" name="Kosto faktike" totalsRowFunction="sum" dataDxfId="1106" totalsRowDxfId="1107"/>
    <tableColumn id="4" name="Diferenca" totalsRowFunction="sum" dataDxfId="1104" totalsRowDxfId="1105">
      <calculatedColumnFormula>Table617294153[Kosto e parashikuar]-Table617294153[Kosto faktike]</calculatedColumnFormula>
    </tableColumn>
  </tableColumns>
  <tableStyleInfo name="TableStyleMedium23" showFirstColumn="0" showLastColumn="0" showRowStripes="1" showColumnStripes="0"/>
</table>
</file>

<file path=xl/tables/table53.xml><?xml version="1.0" encoding="utf-8"?>
<table xmlns="http://schemas.openxmlformats.org/spreadsheetml/2006/main" id="53" name="Table1118304254" displayName="Table1118304254" ref="G41:J45" totalsRowCount="1" headerRowDxfId="1103" dataDxfId="1102" totalsRowDxfId="1101" tableBorderDxfId="1100">
  <autoFilter ref="G41:J44"/>
  <tableColumns count="4">
    <tableColumn id="1" name="Donacione" totalsRowLabel="Total" dataDxfId="1098" totalsRowDxfId="1099"/>
    <tableColumn id="2" name="Kosto e parashikuar" totalsRowFunction="sum" dataDxfId="1096" totalsRowDxfId="1097"/>
    <tableColumn id="3" name="Kosto faktike" totalsRowFunction="sum" dataDxfId="1094" totalsRowDxfId="1095"/>
    <tableColumn id="4" name="Diferenca" totalsRowFunction="sum" dataDxfId="1092" totalsRowDxfId="1093">
      <calculatedColumnFormula>Table1118304254[Kosto e parashikuar]-Table1118304254[Kosto faktike]</calculatedColumnFormula>
    </tableColumn>
  </tableColumns>
  <tableStyleInfo name="TableStyleMedium23" showFirstColumn="0" showLastColumn="0" showRowStripes="1" showColumnStripes="0"/>
</table>
</file>

<file path=xl/tables/table54.xml><?xml version="1.0" encoding="utf-8"?>
<table xmlns="http://schemas.openxmlformats.org/spreadsheetml/2006/main" id="54" name="Table519314355" displayName="Table519314355" ref="B39:E43" totalsRowCount="1" headerRowDxfId="1091" dataDxfId="1090" totalsRowDxfId="1089" tableBorderDxfId="1088">
  <autoFilter ref="B39:E42"/>
  <tableColumns count="4">
    <tableColumn id="1" name="Ushqimi" totalsRowLabel="Total" dataDxfId="1086" totalsRowDxfId="1087"/>
    <tableColumn id="2" name="Kosto e parashikuar" totalsRowFunction="sum" dataDxfId="1084" totalsRowDxfId="1085"/>
    <tableColumn id="3" name="Kosto faktike" totalsRowFunction="sum" dataDxfId="1082" totalsRowDxfId="1083"/>
    <tableColumn id="4" name="Diferenca" totalsRowFunction="sum" dataDxfId="1080" totalsRowDxfId="1081">
      <calculatedColumnFormula>Table519314355[Kosto e parashikuar]-Table519314355[Kosto faktike]</calculatedColumnFormula>
    </tableColumn>
  </tableColumns>
  <tableStyleInfo name="TableStyleMedium23" showFirstColumn="0" showLastColumn="0" showRowStripes="1" showColumnStripes="0"/>
</table>
</file>

<file path=xl/tables/table55.xml><?xml version="1.0" encoding="utf-8"?>
<table xmlns="http://schemas.openxmlformats.org/spreadsheetml/2006/main" id="55" name="Table920324456" displayName="Table920324456" ref="G28:J33" totalsRowCount="1" headerRowDxfId="1079" dataDxfId="1078" totalsRowDxfId="1077" tableBorderDxfId="1076">
  <autoFilter ref="G28:J32"/>
  <tableColumns count="4">
    <tableColumn id="1" name="Taksa" totalsRowLabel="Total" dataDxfId="1074" totalsRowDxfId="1075"/>
    <tableColumn id="2" name="Kosto e parashikuar" totalsRowFunction="sum" dataDxfId="1072" totalsRowDxfId="1073"/>
    <tableColumn id="3" name="Kosto faktike" totalsRowFunction="sum" dataDxfId="1070" totalsRowDxfId="1071"/>
    <tableColumn id="4" name="Diferenca" totalsRowFunction="sum" dataDxfId="1068" totalsRowDxfId="1069">
      <calculatedColumnFormula>Table920324456[Kosto e parashikuar]-Table920324456[Kosto faktike]</calculatedColumnFormula>
    </tableColumn>
  </tableColumns>
  <tableStyleInfo name="TableStyleMedium23" showFirstColumn="0" showLastColumn="0" showRowStripes="1" showColumnStripes="0"/>
</table>
</file>

<file path=xl/tables/table56.xml><?xml version="1.0" encoding="utf-8"?>
<table xmlns="http://schemas.openxmlformats.org/spreadsheetml/2006/main" id="56" name="Table321334557" displayName="Table321334557" ref="B23:E31" totalsRowCount="1" headerRowDxfId="1067" dataDxfId="1066" totalsRowDxfId="1065" tableBorderDxfId="1064">
  <autoFilter ref="B23:E30"/>
  <tableColumns count="4">
    <tableColumn id="1" name="Transport" totalsRowLabel="Total" dataDxfId="1062" totalsRowDxfId="1063"/>
    <tableColumn id="2" name="Kosto e parashikuar" totalsRowFunction="sum" dataDxfId="1060" totalsRowDxfId="1061"/>
    <tableColumn id="3" name="Kosto faktike" totalsRowFunction="sum" dataDxfId="1058" totalsRowDxfId="1059"/>
    <tableColumn id="4" name="Diferenca" totalsRowFunction="sum" dataDxfId="1056" totalsRowDxfId="1057">
      <calculatedColumnFormula>Table321334557[Kosto e parashikuar]-Table321334557[Kosto faktike]</calculatedColumnFormula>
    </tableColumn>
  </tableColumns>
  <tableStyleInfo name="TableStyleMedium23" showFirstColumn="0" showLastColumn="0" showRowStripes="1" showColumnStripes="0"/>
</table>
</file>

<file path=xl/tables/table57.xml><?xml version="1.0" encoding="utf-8"?>
<table xmlns="http://schemas.openxmlformats.org/spreadsheetml/2006/main" id="57" name="Table822344658" displayName="Table822344658" ref="G19:J26" totalsRowCount="1" headerRowDxfId="1055" dataDxfId="1054" totalsRowDxfId="1053" tableBorderDxfId="1052">
  <autoFilter ref="G19:J25"/>
  <tableColumns count="4">
    <tableColumn id="1" name="Kredia" totalsRowLabel="Total" dataDxfId="1050" totalsRowDxfId="1051"/>
    <tableColumn id="2" name="Kosto e parashikuar" totalsRowFunction="sum" dataDxfId="1048" totalsRowDxfId="1049"/>
    <tableColumn id="3" name="Kosto faktike" totalsRowFunction="sum" dataDxfId="1046" totalsRowDxfId="1047"/>
    <tableColumn id="4" name="Diferenca" totalsRowFunction="sum" dataDxfId="1044" totalsRowDxfId="1045">
      <calculatedColumnFormula>Table822344658[Kosto e parashikuar]-Table822344658[Kosto faktike]</calculatedColumnFormula>
    </tableColumn>
  </tableColumns>
  <tableStyleInfo name="TableStyleMedium23" showFirstColumn="0" showLastColumn="0" showRowStripes="1" showColumnStripes="0"/>
</table>
</file>

<file path=xl/tables/table58.xml><?xml version="1.0" encoding="utf-8"?>
<table xmlns="http://schemas.openxmlformats.org/spreadsheetml/2006/main" id="58" name="Table1023354759" displayName="Table1023354759" ref="G35:J39" totalsRowCount="1" headerRowDxfId="1043" dataDxfId="1042" totalsRowDxfId="1041" tableBorderDxfId="1040">
  <autoFilter ref="G35:J38"/>
  <tableColumns count="4">
    <tableColumn id="1" name="Llogari kursimi" totalsRowLabel="Total" dataDxfId="1038" totalsRowDxfId="1039"/>
    <tableColumn id="2" name="Kosto e parashikuar" totalsRowFunction="sum" dataDxfId="1036" totalsRowDxfId="1037"/>
    <tableColumn id="3" name="Kosto faktike" totalsRowFunction="sum" dataDxfId="1034" totalsRowDxfId="1035"/>
    <tableColumn id="4" name="Diferenca" totalsRowFunction="sum" dataDxfId="1032" totalsRowDxfId="1033">
      <calculatedColumnFormula>Table1023354759[Kosto e parashikuar]-Table1023354759[Kosto faktike]</calculatedColumnFormula>
    </tableColumn>
  </tableColumns>
  <tableStyleInfo name="TableStyleMedium23" showFirstColumn="0" showLastColumn="0" showRowStripes="1" showColumnStripes="0"/>
</table>
</file>

<file path=xl/tables/table59.xml><?xml version="1.0" encoding="utf-8"?>
<table xmlns="http://schemas.openxmlformats.org/spreadsheetml/2006/main" id="59" name="Table724364860" displayName="Table724364860" ref="B53:E59" totalsRowCount="1" headerRowDxfId="1031" dataDxfId="1030" totalsRowDxfId="1029" tableBorderDxfId="1028">
  <autoFilter ref="B53:E58"/>
  <tableColumns count="4">
    <tableColumn id="1" name="Shpenzime personale" totalsRowLabel="Total" dataDxfId="1026" totalsRowDxfId="1027"/>
    <tableColumn id="2" name="Kosto e parashikuar" totalsRowFunction="sum" dataDxfId="1024" totalsRowDxfId="1025"/>
    <tableColumn id="3" name="Kosto faktike" totalsRowFunction="sum" dataDxfId="1022" totalsRowDxfId="1023"/>
    <tableColumn id="4" name="Diferenca" totalsRowFunction="sum" dataDxfId="1020" totalsRowDxfId="1021">
      <calculatedColumnFormula>Table724364860[Kosto e parashikuar]-Table724364860[Kosto faktike]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6" name="Table5" displayName="Table5" ref="B39:E43" totalsRowCount="1" headerRowDxfId="1667" dataDxfId="1666" totalsRowDxfId="1664" tableBorderDxfId="1665">
  <autoFilter ref="B39:E42"/>
  <tableColumns count="4">
    <tableColumn id="1" name="Ushqimi" totalsRowLabel="Total" dataDxfId="1663" totalsRowDxfId="1662"/>
    <tableColumn id="2" name="Kosto e parashikuar" totalsRowFunction="sum" dataDxfId="1661" totalsRowDxfId="1660"/>
    <tableColumn id="3" name="Kosto faktike" totalsRowFunction="sum" dataDxfId="1659" totalsRowDxfId="1658"/>
    <tableColumn id="4" name="Diferenca" totalsRowFunction="sum" dataDxfId="1657" totalsRowDxfId="1656">
      <calculatedColumnFormula>Table5[Kosto e parashikuar]-Table5[Kosto faktike]</calculatedColumnFormula>
    </tableColumn>
  </tableColumns>
  <tableStyleInfo name="TableStyleMedium23" showFirstColumn="0" showLastColumn="0" showRowStripes="1" showColumnStripes="0"/>
</table>
</file>

<file path=xl/tables/table60.xml><?xml version="1.0" encoding="utf-8"?>
<table xmlns="http://schemas.openxmlformats.org/spreadsheetml/2006/main" id="60" name="Table225374961" displayName="Table225374961" ref="G11:J17" totalsRowCount="1" headerRowDxfId="1019" dataDxfId="1018" totalsRowDxfId="1017" tableBorderDxfId="1016">
  <autoFilter ref="G11:J16"/>
  <tableColumns count="4">
    <tableColumn id="1" name="Koha e lire" totalsRowLabel="Total" dataDxfId="1014" totalsRowDxfId="1015"/>
    <tableColumn id="2" name="Kosto e parashikuar" totalsRowFunction="sum" dataDxfId="1012" totalsRowDxfId="1013"/>
    <tableColumn id="3" name="Kosto faktike" totalsRowFunction="sum" dataDxfId="1010" totalsRowDxfId="1011"/>
    <tableColumn id="4" name="Diferenca" totalsRowFunction="sum" dataDxfId="1008" totalsRowDxfId="1009">
      <calculatedColumnFormula>Table225374961[Kosto e parashikuar]-Table225374961[Kosto faktike]</calculatedColumnFormula>
    </tableColumn>
  </tableColumns>
  <tableStyleInfo name="TableStyleMedium23" showFirstColumn="0" showLastColumn="0" showRowStripes="1" showColumnStripes="0"/>
</table>
</file>

<file path=xl/tables/table61.xml><?xml version="1.0" encoding="utf-8"?>
<table xmlns="http://schemas.openxmlformats.org/spreadsheetml/2006/main" id="61" name="Table11426385062" displayName="Table11426385062" ref="B11:E21" totalsRowCount="1" headerRowDxfId="1007" dataDxfId="1006" totalsRowDxfId="1005" tableBorderDxfId="1004">
  <autoFilter ref="B11:E20"/>
  <tableColumns count="4">
    <tableColumn id="1" name="Shtepia" totalsRowLabel="Total" dataDxfId="1002" totalsRowDxfId="1003" dataCellStyle="Normal 16"/>
    <tableColumn id="2" name="Kosto e parashikuar" totalsRowFunction="sum" dataDxfId="1000" totalsRowDxfId="1001" dataCellStyle="Normal 16"/>
    <tableColumn id="3" name="Kosto faktike" totalsRowFunction="sum" dataDxfId="998" totalsRowDxfId="999" dataCellStyle="Normal 16"/>
    <tableColumn id="4" name="Diferenca" totalsRowFunction="sum" dataDxfId="996" totalsRowDxfId="997" dataCellStyle="Normal 16">
      <calculatedColumnFormula>Table11426385062[Kosto e parashikuar]-Table11426385062[Kosto faktike]</calculatedColumnFormula>
    </tableColumn>
  </tableColumns>
  <tableStyleInfo name="TableStyleMedium23" showFirstColumn="0" showLastColumn="0" showRowStripes="1" showColumnStripes="0"/>
</table>
</file>

<file path=xl/tables/table62.xml><?xml version="1.0" encoding="utf-8"?>
<table xmlns="http://schemas.openxmlformats.org/spreadsheetml/2006/main" id="62" name="Table41527395163" displayName="Table41527395163" ref="B33:E37" totalsRowCount="1" headerRowDxfId="995" dataDxfId="994" totalsRowDxfId="993" tableBorderDxfId="992">
  <autoFilter ref="B33:E36"/>
  <tableColumns count="4">
    <tableColumn id="1" name="Siguracioni" totalsRowLabel="Total" dataDxfId="990" totalsRowDxfId="991"/>
    <tableColumn id="2" name="Kosto e parashikuar" totalsRowFunction="sum" dataDxfId="988" totalsRowDxfId="989"/>
    <tableColumn id="3" name="Kosto faktike" totalsRowFunction="sum" dataDxfId="986" totalsRowDxfId="987"/>
    <tableColumn id="4" name="Diferenca" totalsRowFunction="sum" dataDxfId="984" totalsRowDxfId="985">
      <calculatedColumnFormula>Table41527395163[Kosto e parashikuar]-Table41527395163[Kosto faktike]</calculatedColumnFormula>
    </tableColumn>
  </tableColumns>
  <tableStyleInfo name="TableStyleMedium23" showFirstColumn="0" showLastColumn="0" showRowStripes="1" showColumnStripes="0"/>
</table>
</file>

<file path=xl/tables/table63.xml><?xml version="1.0" encoding="utf-8"?>
<table xmlns="http://schemas.openxmlformats.org/spreadsheetml/2006/main" id="63" name="Table121628405264" displayName="Table121628405264" ref="G47:J52" totalsRowCount="1" headerRowDxfId="983" dataDxfId="982" totalsRowDxfId="981" tableBorderDxfId="980">
  <autoFilter ref="G47:J51"/>
  <tableColumns count="4">
    <tableColumn id="1" name="Te tjera sipas nevojave" totalsRowLabel="Total" dataDxfId="978" totalsRowDxfId="979"/>
    <tableColumn id="2" name="Kosto e parashikuar" totalsRowFunction="sum" dataDxfId="976" totalsRowDxfId="977"/>
    <tableColumn id="3" name="Kosto faktike" totalsRowFunction="sum" dataDxfId="974" totalsRowDxfId="975"/>
    <tableColumn id="4" name="Diferenca" totalsRowFunction="sum" dataDxfId="972" totalsRowDxfId="973">
      <calculatedColumnFormula>Table121628405264[Kosto e parashikuar]-Table121628405264[Kosto faktike]</calculatedColumnFormula>
    </tableColumn>
  </tableColumns>
  <tableStyleInfo name="TableStyleMedium23" showFirstColumn="0" showLastColumn="0" showRowStripes="1" showColumnStripes="0"/>
</table>
</file>

<file path=xl/tables/table64.xml><?xml version="1.0" encoding="utf-8"?>
<table xmlns="http://schemas.openxmlformats.org/spreadsheetml/2006/main" id="64" name="Table61729415365" displayName="Table61729415365" ref="B45:E51" totalsRowCount="1" headerRowDxfId="971" dataDxfId="970" totalsRowDxfId="969" tableBorderDxfId="968">
  <autoFilter ref="B45:E50"/>
  <tableColumns count="4">
    <tableColumn id="1" name="Kafshet e shtepise" totalsRowLabel="Total" dataDxfId="966" totalsRowDxfId="967"/>
    <tableColumn id="2" name="Kosto e parashikuar" totalsRowFunction="sum" dataDxfId="964" totalsRowDxfId="965"/>
    <tableColumn id="3" name="Kosto faktike" totalsRowFunction="sum" dataDxfId="962" totalsRowDxfId="963"/>
    <tableColumn id="4" name="Diferenca" totalsRowFunction="sum" dataDxfId="960" totalsRowDxfId="961">
      <calculatedColumnFormula>Table61729415365[Kosto e parashikuar]-Table61729415365[Kosto faktike]</calculatedColumnFormula>
    </tableColumn>
  </tableColumns>
  <tableStyleInfo name="TableStyleMedium23" showFirstColumn="0" showLastColumn="0" showRowStripes="1" showColumnStripes="0"/>
</table>
</file>

<file path=xl/tables/table65.xml><?xml version="1.0" encoding="utf-8"?>
<table xmlns="http://schemas.openxmlformats.org/spreadsheetml/2006/main" id="65" name="Table111830425466" displayName="Table111830425466" ref="G41:J45" totalsRowCount="1" headerRowDxfId="959" dataDxfId="958" totalsRowDxfId="957" tableBorderDxfId="956">
  <autoFilter ref="G41:J44"/>
  <tableColumns count="4">
    <tableColumn id="1" name="Donacione" totalsRowLabel="Total" dataDxfId="954" totalsRowDxfId="955"/>
    <tableColumn id="2" name="Kosto e parashikuar" totalsRowFunction="sum" dataDxfId="952" totalsRowDxfId="953"/>
    <tableColumn id="3" name="Kosto faktike" totalsRowFunction="sum" dataDxfId="950" totalsRowDxfId="951"/>
    <tableColumn id="4" name="Diferenca" totalsRowFunction="sum" dataDxfId="948" totalsRowDxfId="949">
      <calculatedColumnFormula>Table111830425466[Kosto e parashikuar]-Table111830425466[Kosto faktike]</calculatedColumnFormula>
    </tableColumn>
  </tableColumns>
  <tableStyleInfo name="TableStyleMedium23" showFirstColumn="0" showLastColumn="0" showRowStripes="1" showColumnStripes="0"/>
</table>
</file>

<file path=xl/tables/table66.xml><?xml version="1.0" encoding="utf-8"?>
<table xmlns="http://schemas.openxmlformats.org/spreadsheetml/2006/main" id="66" name="Table51931435567" displayName="Table51931435567" ref="B39:E43" totalsRowCount="1" headerRowDxfId="947" dataDxfId="946" totalsRowDxfId="945" tableBorderDxfId="944">
  <autoFilter ref="B39:E42"/>
  <tableColumns count="4">
    <tableColumn id="1" name="Ushqimi" totalsRowLabel="Total" dataDxfId="942" totalsRowDxfId="943"/>
    <tableColumn id="2" name="Kosto e parashikuar" totalsRowFunction="sum" dataDxfId="940" totalsRowDxfId="941"/>
    <tableColumn id="3" name="Kosto faktike" totalsRowFunction="sum" dataDxfId="938" totalsRowDxfId="939"/>
    <tableColumn id="4" name="Diferenca" totalsRowFunction="sum" dataDxfId="936" totalsRowDxfId="937">
      <calculatedColumnFormula>Table51931435567[Kosto e parashikuar]-Table51931435567[Kosto faktike]</calculatedColumnFormula>
    </tableColumn>
  </tableColumns>
  <tableStyleInfo name="TableStyleMedium23" showFirstColumn="0" showLastColumn="0" showRowStripes="1" showColumnStripes="0"/>
</table>
</file>

<file path=xl/tables/table67.xml><?xml version="1.0" encoding="utf-8"?>
<table xmlns="http://schemas.openxmlformats.org/spreadsheetml/2006/main" id="67" name="Table92032445668" displayName="Table92032445668" ref="G28:J33" totalsRowCount="1" headerRowDxfId="935" dataDxfId="934" totalsRowDxfId="933" tableBorderDxfId="932">
  <autoFilter ref="G28:J32"/>
  <tableColumns count="4">
    <tableColumn id="1" name="Taksa" totalsRowLabel="Total" dataDxfId="930" totalsRowDxfId="931"/>
    <tableColumn id="2" name="Kosto e parashikuar" totalsRowFunction="sum" dataDxfId="928" totalsRowDxfId="929"/>
    <tableColumn id="3" name="Kosto faktike" totalsRowFunction="sum" dataDxfId="926" totalsRowDxfId="927"/>
    <tableColumn id="4" name="Diferenca" totalsRowFunction="sum" dataDxfId="924" totalsRowDxfId="925">
      <calculatedColumnFormula>Table92032445668[Kosto e parashikuar]-Table92032445668[Kosto faktike]</calculatedColumnFormula>
    </tableColumn>
  </tableColumns>
  <tableStyleInfo name="TableStyleMedium23" showFirstColumn="0" showLastColumn="0" showRowStripes="1" showColumnStripes="0"/>
</table>
</file>

<file path=xl/tables/table68.xml><?xml version="1.0" encoding="utf-8"?>
<table xmlns="http://schemas.openxmlformats.org/spreadsheetml/2006/main" id="68" name="Table32133455769" displayName="Table32133455769" ref="B23:E31" totalsRowCount="1" headerRowDxfId="923" dataDxfId="922" totalsRowDxfId="921" tableBorderDxfId="920">
  <autoFilter ref="B23:E30"/>
  <tableColumns count="4">
    <tableColumn id="1" name="Transport" totalsRowLabel="Total" dataDxfId="918" totalsRowDxfId="919"/>
    <tableColumn id="2" name="Kosto e parashikuar" totalsRowFunction="sum" dataDxfId="916" totalsRowDxfId="917"/>
    <tableColumn id="3" name="Kosto faktike" totalsRowFunction="sum" dataDxfId="914" totalsRowDxfId="915"/>
    <tableColumn id="4" name="Diferenca" totalsRowFunction="sum" dataDxfId="912" totalsRowDxfId="913">
      <calculatedColumnFormula>Table32133455769[Kosto e parashikuar]-Table32133455769[Kosto faktike]</calculatedColumnFormula>
    </tableColumn>
  </tableColumns>
  <tableStyleInfo name="TableStyleMedium23" showFirstColumn="0" showLastColumn="0" showRowStripes="1" showColumnStripes="0"/>
</table>
</file>

<file path=xl/tables/table69.xml><?xml version="1.0" encoding="utf-8"?>
<table xmlns="http://schemas.openxmlformats.org/spreadsheetml/2006/main" id="69" name="Table82234465870" displayName="Table82234465870" ref="G19:J26" totalsRowCount="1" headerRowDxfId="911" dataDxfId="910" totalsRowDxfId="909" tableBorderDxfId="908">
  <autoFilter ref="G19:J25"/>
  <tableColumns count="4">
    <tableColumn id="1" name="Kredia" totalsRowLabel="Total" dataDxfId="906" totalsRowDxfId="907"/>
    <tableColumn id="2" name="Kosto e parashikuar" totalsRowFunction="sum" dataDxfId="904" totalsRowDxfId="905"/>
    <tableColumn id="3" name="Kosto faktike" totalsRowFunction="sum" dataDxfId="902" totalsRowDxfId="903"/>
    <tableColumn id="4" name="Diferenca" totalsRowFunction="sum" dataDxfId="900" totalsRowDxfId="901">
      <calculatedColumnFormula>Table82234465870[Kosto e parashikuar]-Table82234465870[Kosto faktike]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7" name="Table9" displayName="Table9" ref="G28:J33" totalsRowCount="1" headerRowDxfId="1655" dataDxfId="1654" totalsRowDxfId="1652" tableBorderDxfId="1653">
  <autoFilter ref="G28:J32"/>
  <tableColumns count="4">
    <tableColumn id="1" name="Taksa" totalsRowLabel="Total" dataDxfId="1651" totalsRowDxfId="1650"/>
    <tableColumn id="2" name="Kosto e parashikuar" totalsRowFunction="sum" dataDxfId="1649" totalsRowDxfId="1648"/>
    <tableColumn id="3" name="Kosto faktike" totalsRowFunction="sum" dataDxfId="1647" totalsRowDxfId="1646"/>
    <tableColumn id="4" name="Diferenca" totalsRowFunction="sum" dataDxfId="1645" totalsRowDxfId="1644">
      <calculatedColumnFormula>Table9[Kosto e parashikuar]-Table9[Kosto faktike]</calculatedColumnFormula>
    </tableColumn>
  </tableColumns>
  <tableStyleInfo name="TableStyleMedium23" showFirstColumn="0" showLastColumn="0" showRowStripes="1" showColumnStripes="0"/>
</table>
</file>

<file path=xl/tables/table70.xml><?xml version="1.0" encoding="utf-8"?>
<table xmlns="http://schemas.openxmlformats.org/spreadsheetml/2006/main" id="70" name="Table102335475971" displayName="Table102335475971" ref="G35:J39" totalsRowCount="1" headerRowDxfId="899" dataDxfId="898" totalsRowDxfId="897" tableBorderDxfId="896">
  <autoFilter ref="G35:J38"/>
  <tableColumns count="4">
    <tableColumn id="1" name="Llogari kursimi" totalsRowLabel="Total" dataDxfId="894" totalsRowDxfId="895"/>
    <tableColumn id="2" name="Kosto e parashikuar" totalsRowFunction="sum" dataDxfId="892" totalsRowDxfId="893"/>
    <tableColumn id="3" name="Kosto faktike" totalsRowFunction="sum" dataDxfId="890" totalsRowDxfId="891"/>
    <tableColumn id="4" name="Diferenca" totalsRowFunction="sum" dataDxfId="888" totalsRowDxfId="889">
      <calculatedColumnFormula>Table102335475971[Kosto e parashikuar]-Table102335475971[Kosto faktike]</calculatedColumnFormula>
    </tableColumn>
  </tableColumns>
  <tableStyleInfo name="TableStyleMedium23" showFirstColumn="0" showLastColumn="0" showRowStripes="1" showColumnStripes="0"/>
</table>
</file>

<file path=xl/tables/table71.xml><?xml version="1.0" encoding="utf-8"?>
<table xmlns="http://schemas.openxmlformats.org/spreadsheetml/2006/main" id="71" name="Table72436486072" displayName="Table72436486072" ref="B53:E59" totalsRowCount="1" headerRowDxfId="887" dataDxfId="886" totalsRowDxfId="885" tableBorderDxfId="884">
  <autoFilter ref="B53:E58"/>
  <tableColumns count="4">
    <tableColumn id="1" name="Shpenzime personale" totalsRowLabel="Total" dataDxfId="882" totalsRowDxfId="883"/>
    <tableColumn id="2" name="Kosto e parashikuar" totalsRowFunction="sum" dataDxfId="880" totalsRowDxfId="881"/>
    <tableColumn id="3" name="Kosto faktike" totalsRowFunction="sum" dataDxfId="878" totalsRowDxfId="879"/>
    <tableColumn id="4" name="Diferenca" totalsRowFunction="sum" dataDxfId="876" totalsRowDxfId="877">
      <calculatedColumnFormula>Table72436486072[Kosto e parashikuar]-Table72436486072[Kosto faktike]</calculatedColumnFormula>
    </tableColumn>
  </tableColumns>
  <tableStyleInfo name="TableStyleMedium23" showFirstColumn="0" showLastColumn="0" showRowStripes="1" showColumnStripes="0"/>
</table>
</file>

<file path=xl/tables/table72.xml><?xml version="1.0" encoding="utf-8"?>
<table xmlns="http://schemas.openxmlformats.org/spreadsheetml/2006/main" id="72" name="Table22537496173" displayName="Table22537496173" ref="G11:J17" totalsRowCount="1" headerRowDxfId="875" dataDxfId="874" totalsRowDxfId="873" tableBorderDxfId="872">
  <autoFilter ref="G11:J16"/>
  <tableColumns count="4">
    <tableColumn id="1" name="Koha e lire" totalsRowLabel="Total" dataDxfId="870" totalsRowDxfId="871"/>
    <tableColumn id="2" name="Kosto e parashikuar" totalsRowFunction="sum" dataDxfId="868" totalsRowDxfId="869"/>
    <tableColumn id="3" name="Kosto faktike" totalsRowFunction="sum" dataDxfId="866" totalsRowDxfId="867"/>
    <tableColumn id="4" name="Diferenca" totalsRowFunction="sum" dataDxfId="864" totalsRowDxfId="865">
      <calculatedColumnFormula>Table22537496173[Kosto e parashikuar]-Table22537496173[Kosto faktike]</calculatedColumnFormula>
    </tableColumn>
  </tableColumns>
  <tableStyleInfo name="TableStyleMedium23" showFirstColumn="0" showLastColumn="0" showRowStripes="1" showColumnStripes="0"/>
</table>
</file>

<file path=xl/tables/table73.xml><?xml version="1.0" encoding="utf-8"?>
<table xmlns="http://schemas.openxmlformats.org/spreadsheetml/2006/main" id="73" name="Table1142638506274" displayName="Table1142638506274" ref="B11:E21" totalsRowCount="1" headerRowDxfId="863" dataDxfId="862" totalsRowDxfId="861" tableBorderDxfId="860">
  <autoFilter ref="B11:E20"/>
  <tableColumns count="4">
    <tableColumn id="1" name="Shtepia" totalsRowLabel="Total" dataDxfId="858" totalsRowDxfId="859" dataCellStyle="Normal 16"/>
    <tableColumn id="2" name="Kosto e parashikuar" totalsRowFunction="sum" dataDxfId="856" totalsRowDxfId="857" dataCellStyle="Normal 16"/>
    <tableColumn id="3" name="Kosto faktike" totalsRowFunction="sum" dataDxfId="854" totalsRowDxfId="855" dataCellStyle="Normal 16"/>
    <tableColumn id="4" name="Diferenca" totalsRowFunction="sum" dataDxfId="852" totalsRowDxfId="853" dataCellStyle="Normal 16">
      <calculatedColumnFormula>Table1142638506274[Kosto e parashikuar]-Table1142638506274[Kosto faktike]</calculatedColumnFormula>
    </tableColumn>
  </tableColumns>
  <tableStyleInfo name="TableStyleMedium23" showFirstColumn="0" showLastColumn="0" showRowStripes="1" showColumnStripes="0"/>
</table>
</file>

<file path=xl/tables/table74.xml><?xml version="1.0" encoding="utf-8"?>
<table xmlns="http://schemas.openxmlformats.org/spreadsheetml/2006/main" id="74" name="Table4152739516375" displayName="Table4152739516375" ref="B33:E37" totalsRowCount="1" headerRowDxfId="851" dataDxfId="850" totalsRowDxfId="849" tableBorderDxfId="848">
  <autoFilter ref="B33:E36"/>
  <tableColumns count="4">
    <tableColumn id="1" name="Siguracioni" totalsRowLabel="Total" dataDxfId="846" totalsRowDxfId="847"/>
    <tableColumn id="2" name="Kosto e parashikuar" totalsRowFunction="sum" dataDxfId="844" totalsRowDxfId="845"/>
    <tableColumn id="3" name="Kosto faktike" totalsRowFunction="sum" dataDxfId="842" totalsRowDxfId="843"/>
    <tableColumn id="4" name="Diferenca" totalsRowFunction="sum" dataDxfId="840" totalsRowDxfId="841">
      <calculatedColumnFormula>Table4152739516375[Kosto e parashikuar]-Table4152739516375[Kosto faktike]</calculatedColumnFormula>
    </tableColumn>
  </tableColumns>
  <tableStyleInfo name="TableStyleMedium23" showFirstColumn="0" showLastColumn="0" showRowStripes="1" showColumnStripes="0"/>
</table>
</file>

<file path=xl/tables/table75.xml><?xml version="1.0" encoding="utf-8"?>
<table xmlns="http://schemas.openxmlformats.org/spreadsheetml/2006/main" id="75" name="Table12162840526476" displayName="Table12162840526476" ref="G47:J52" totalsRowCount="1" headerRowDxfId="839" dataDxfId="838" totalsRowDxfId="837" tableBorderDxfId="836">
  <autoFilter ref="G47:J51"/>
  <tableColumns count="4">
    <tableColumn id="1" name="Te tjera sipas nevojave" totalsRowLabel="Total" dataDxfId="834" totalsRowDxfId="835"/>
    <tableColumn id="2" name="Kosto e parashikuar" totalsRowFunction="sum" dataDxfId="832" totalsRowDxfId="833"/>
    <tableColumn id="3" name="Kosto faktike" totalsRowFunction="sum" dataDxfId="830" totalsRowDxfId="831"/>
    <tableColumn id="4" name="Diferenca" totalsRowFunction="sum" dataDxfId="828" totalsRowDxfId="829">
      <calculatedColumnFormula>Table12162840526476[Kosto e parashikuar]-Table12162840526476[Kosto faktike]</calculatedColumnFormula>
    </tableColumn>
  </tableColumns>
  <tableStyleInfo name="TableStyleMedium23" showFirstColumn="0" showLastColumn="0" showRowStripes="1" showColumnStripes="0"/>
</table>
</file>

<file path=xl/tables/table76.xml><?xml version="1.0" encoding="utf-8"?>
<table xmlns="http://schemas.openxmlformats.org/spreadsheetml/2006/main" id="76" name="Table6172941536577" displayName="Table6172941536577" ref="B45:E51" totalsRowCount="1" headerRowDxfId="827" dataDxfId="826" totalsRowDxfId="825" tableBorderDxfId="824">
  <autoFilter ref="B45:E50"/>
  <tableColumns count="4">
    <tableColumn id="1" name="Kafshet e shtepise" totalsRowLabel="Total" dataDxfId="822" totalsRowDxfId="823"/>
    <tableColumn id="2" name="Kosto e parashikuar" totalsRowFunction="sum" dataDxfId="820" totalsRowDxfId="821"/>
    <tableColumn id="3" name="Kosto faktike" totalsRowFunction="sum" dataDxfId="818" totalsRowDxfId="819"/>
    <tableColumn id="4" name="Diferenca" totalsRowFunction="sum" dataDxfId="816" totalsRowDxfId="817">
      <calculatedColumnFormula>Table6172941536577[Kosto e parashikuar]-Table6172941536577[Kosto faktike]</calculatedColumnFormula>
    </tableColumn>
  </tableColumns>
  <tableStyleInfo name="TableStyleMedium23" showFirstColumn="0" showLastColumn="0" showRowStripes="1" showColumnStripes="0"/>
</table>
</file>

<file path=xl/tables/table77.xml><?xml version="1.0" encoding="utf-8"?>
<table xmlns="http://schemas.openxmlformats.org/spreadsheetml/2006/main" id="77" name="Table11183042546678" displayName="Table11183042546678" ref="G41:J45" totalsRowCount="1" headerRowDxfId="815" dataDxfId="814" totalsRowDxfId="813" tableBorderDxfId="812">
  <autoFilter ref="G41:J44"/>
  <tableColumns count="4">
    <tableColumn id="1" name="Donacione" totalsRowLabel="Total" dataDxfId="810" totalsRowDxfId="811"/>
    <tableColumn id="2" name="Kosto e parashikuar" totalsRowFunction="sum" dataDxfId="808" totalsRowDxfId="809"/>
    <tableColumn id="3" name="Kosto faktike" totalsRowFunction="sum" dataDxfId="806" totalsRowDxfId="807"/>
    <tableColumn id="4" name="Diferenca" totalsRowFunction="sum" dataDxfId="804" totalsRowDxfId="805">
      <calculatedColumnFormula>Table11183042546678[Kosto e parashikuar]-Table11183042546678[Kosto faktike]</calculatedColumnFormula>
    </tableColumn>
  </tableColumns>
  <tableStyleInfo name="TableStyleMedium23" showFirstColumn="0" showLastColumn="0" showRowStripes="1" showColumnStripes="0"/>
</table>
</file>

<file path=xl/tables/table78.xml><?xml version="1.0" encoding="utf-8"?>
<table xmlns="http://schemas.openxmlformats.org/spreadsheetml/2006/main" id="78" name="Table5193143556779" displayName="Table5193143556779" ref="B39:E43" totalsRowCount="1" headerRowDxfId="803" dataDxfId="802" totalsRowDxfId="801" tableBorderDxfId="800">
  <autoFilter ref="B39:E42"/>
  <tableColumns count="4">
    <tableColumn id="1" name="Ushqimi" totalsRowLabel="Total" dataDxfId="798" totalsRowDxfId="799"/>
    <tableColumn id="2" name="Kosto e parashikuar" totalsRowFunction="sum" dataDxfId="796" totalsRowDxfId="797"/>
    <tableColumn id="3" name="Kosto faktike" totalsRowFunction="sum" dataDxfId="794" totalsRowDxfId="795"/>
    <tableColumn id="4" name="Diferenca" totalsRowFunction="sum" dataDxfId="792" totalsRowDxfId="793">
      <calculatedColumnFormula>Table5193143556779[Kosto e parashikuar]-Table5193143556779[Kosto faktike]</calculatedColumnFormula>
    </tableColumn>
  </tableColumns>
  <tableStyleInfo name="TableStyleMedium23" showFirstColumn="0" showLastColumn="0" showRowStripes="1" showColumnStripes="0"/>
</table>
</file>

<file path=xl/tables/table79.xml><?xml version="1.0" encoding="utf-8"?>
<table xmlns="http://schemas.openxmlformats.org/spreadsheetml/2006/main" id="79" name="Table9203244566880" displayName="Table9203244566880" ref="G28:J33" totalsRowCount="1" headerRowDxfId="791" dataDxfId="790" totalsRowDxfId="789" tableBorderDxfId="788">
  <autoFilter ref="G28:J32"/>
  <tableColumns count="4">
    <tableColumn id="1" name="Taksa" totalsRowLabel="Total" dataDxfId="786" totalsRowDxfId="787"/>
    <tableColumn id="2" name="Kosto e parashikuar" totalsRowFunction="sum" dataDxfId="784" totalsRowDxfId="785"/>
    <tableColumn id="3" name="Kosto faktike" totalsRowFunction="sum" dataDxfId="782" totalsRowDxfId="783"/>
    <tableColumn id="4" name="Diferenca" totalsRowFunction="sum" dataDxfId="780" totalsRowDxfId="781">
      <calculatedColumnFormula>Table9203244566880[Kosto e parashikuar]-Table9203244566880[Kosto faktike]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8" name="Table3" displayName="Table3" ref="B23:E31" totalsRowCount="1" headerRowDxfId="1643" dataDxfId="1642" totalsRowDxfId="1640" tableBorderDxfId="1641">
  <autoFilter ref="B23:E30"/>
  <tableColumns count="4">
    <tableColumn id="1" name="Transport" totalsRowLabel="Total" dataDxfId="1639" totalsRowDxfId="1638"/>
    <tableColumn id="2" name="Kosto e parashikuar" totalsRowFunction="sum" dataDxfId="1637" totalsRowDxfId="1636"/>
    <tableColumn id="3" name="Kosto faktike" totalsRowFunction="sum" dataDxfId="1635" totalsRowDxfId="1634"/>
    <tableColumn id="4" name="Diferenca" totalsRowFunction="sum" dataDxfId="1633" totalsRowDxfId="1632">
      <calculatedColumnFormula>Table3[Kosto e parashikuar]-Table3[Kosto faktike]</calculatedColumnFormula>
    </tableColumn>
  </tableColumns>
  <tableStyleInfo name="TableStyleMedium23" showFirstColumn="0" showLastColumn="0" showRowStripes="1" showColumnStripes="0"/>
</table>
</file>

<file path=xl/tables/table80.xml><?xml version="1.0" encoding="utf-8"?>
<table xmlns="http://schemas.openxmlformats.org/spreadsheetml/2006/main" id="80" name="Table3213345576981" displayName="Table3213345576981" ref="B23:E31" totalsRowCount="1" headerRowDxfId="779" dataDxfId="778" totalsRowDxfId="777" tableBorderDxfId="776">
  <autoFilter ref="B23:E30"/>
  <tableColumns count="4">
    <tableColumn id="1" name="Transport" totalsRowLabel="Total" dataDxfId="774" totalsRowDxfId="775"/>
    <tableColumn id="2" name="Kosto e parashikuar" totalsRowFunction="sum" dataDxfId="772" totalsRowDxfId="773"/>
    <tableColumn id="3" name="Kosto faktike" totalsRowFunction="sum" dataDxfId="770" totalsRowDxfId="771"/>
    <tableColumn id="4" name="Diferenca" totalsRowFunction="sum" dataDxfId="768" totalsRowDxfId="769">
      <calculatedColumnFormula>Table3213345576981[Kosto e parashikuar]-Table3213345576981[Kosto faktike]</calculatedColumnFormula>
    </tableColumn>
  </tableColumns>
  <tableStyleInfo name="TableStyleMedium23" showFirstColumn="0" showLastColumn="0" showRowStripes="1" showColumnStripes="0"/>
</table>
</file>

<file path=xl/tables/table81.xml><?xml version="1.0" encoding="utf-8"?>
<table xmlns="http://schemas.openxmlformats.org/spreadsheetml/2006/main" id="81" name="Table8223446587082" displayName="Table8223446587082" ref="G19:J26" totalsRowCount="1" headerRowDxfId="767" dataDxfId="766" totalsRowDxfId="765" tableBorderDxfId="764">
  <autoFilter ref="G19:J25"/>
  <tableColumns count="4">
    <tableColumn id="1" name="Kredia" totalsRowLabel="Total" dataDxfId="762" totalsRowDxfId="763"/>
    <tableColumn id="2" name="Kosto e parashikuar" totalsRowFunction="sum" dataDxfId="760" totalsRowDxfId="761"/>
    <tableColumn id="3" name="Kosto faktike" totalsRowFunction="sum" dataDxfId="758" totalsRowDxfId="759"/>
    <tableColumn id="4" name="Diferenca" totalsRowFunction="sum" dataDxfId="756" totalsRowDxfId="757">
      <calculatedColumnFormula>Table8223446587082[Kosto e parashikuar]-Table8223446587082[Kosto faktike]</calculatedColumnFormula>
    </tableColumn>
  </tableColumns>
  <tableStyleInfo name="TableStyleMedium23" showFirstColumn="0" showLastColumn="0" showRowStripes="1" showColumnStripes="0"/>
</table>
</file>

<file path=xl/tables/table82.xml><?xml version="1.0" encoding="utf-8"?>
<table xmlns="http://schemas.openxmlformats.org/spreadsheetml/2006/main" id="82" name="Table10233547597183" displayName="Table10233547597183" ref="G35:J39" totalsRowCount="1" headerRowDxfId="755" dataDxfId="754" totalsRowDxfId="753" tableBorderDxfId="752">
  <autoFilter ref="G35:J38"/>
  <tableColumns count="4">
    <tableColumn id="1" name="Llogari kursimi" totalsRowLabel="Total" dataDxfId="750" totalsRowDxfId="751"/>
    <tableColumn id="2" name="Kosto e parashikuar" totalsRowFunction="sum" dataDxfId="748" totalsRowDxfId="749"/>
    <tableColumn id="3" name="Kosto faktike" totalsRowFunction="sum" dataDxfId="746" totalsRowDxfId="747"/>
    <tableColumn id="4" name="Diferenca" totalsRowFunction="sum" dataDxfId="744" totalsRowDxfId="745">
      <calculatedColumnFormula>Table10233547597183[Kosto e parashikuar]-Table10233547597183[Kosto faktike]</calculatedColumnFormula>
    </tableColumn>
  </tableColumns>
  <tableStyleInfo name="TableStyleMedium23" showFirstColumn="0" showLastColumn="0" showRowStripes="1" showColumnStripes="0"/>
</table>
</file>

<file path=xl/tables/table83.xml><?xml version="1.0" encoding="utf-8"?>
<table xmlns="http://schemas.openxmlformats.org/spreadsheetml/2006/main" id="83" name="Table7243648607284" displayName="Table7243648607284" ref="B53:E59" totalsRowCount="1" headerRowDxfId="743" dataDxfId="742" totalsRowDxfId="741" tableBorderDxfId="740">
  <autoFilter ref="B53:E58"/>
  <tableColumns count="4">
    <tableColumn id="1" name="Shpenzime personale" totalsRowLabel="Total" dataDxfId="738" totalsRowDxfId="739"/>
    <tableColumn id="2" name="Kosto e parashikuar" totalsRowFunction="sum" dataDxfId="736" totalsRowDxfId="737"/>
    <tableColumn id="3" name="Kosto faktike" totalsRowFunction="sum" dataDxfId="734" totalsRowDxfId="735"/>
    <tableColumn id="4" name="Diferenca" totalsRowFunction="sum" dataDxfId="732" totalsRowDxfId="733">
      <calculatedColumnFormula>Table7243648607284[Kosto e parashikuar]-Table7243648607284[Kosto faktike]</calculatedColumnFormula>
    </tableColumn>
  </tableColumns>
  <tableStyleInfo name="TableStyleMedium23" showFirstColumn="0" showLastColumn="0" showRowStripes="1" showColumnStripes="0"/>
</table>
</file>

<file path=xl/tables/table84.xml><?xml version="1.0" encoding="utf-8"?>
<table xmlns="http://schemas.openxmlformats.org/spreadsheetml/2006/main" id="84" name="Table2253749617385" displayName="Table2253749617385" ref="G11:J17" totalsRowCount="1" headerRowDxfId="731" dataDxfId="730" totalsRowDxfId="729" tableBorderDxfId="728">
  <autoFilter ref="G11:J16"/>
  <tableColumns count="4">
    <tableColumn id="1" name="Koha e lire" totalsRowLabel="Total" dataDxfId="726" totalsRowDxfId="727"/>
    <tableColumn id="2" name="Kosto e parashikuar" totalsRowFunction="sum" dataDxfId="724" totalsRowDxfId="725"/>
    <tableColumn id="3" name="Kosto faktike" totalsRowFunction="sum" dataDxfId="722" totalsRowDxfId="723"/>
    <tableColumn id="4" name="Diferenca" totalsRowFunction="sum" dataDxfId="720" totalsRowDxfId="721">
      <calculatedColumnFormula>Table2253749617385[Kosto e parashikuar]-Table2253749617385[Kosto faktike]</calculatedColumnFormula>
    </tableColumn>
  </tableColumns>
  <tableStyleInfo name="TableStyleMedium23" showFirstColumn="0" showLastColumn="0" showRowStripes="1" showColumnStripes="0"/>
</table>
</file>

<file path=xl/tables/table85.xml><?xml version="1.0" encoding="utf-8"?>
<table xmlns="http://schemas.openxmlformats.org/spreadsheetml/2006/main" id="85" name="Table114263850627486" displayName="Table114263850627486" ref="B11:E21" totalsRowCount="1" headerRowDxfId="719" dataDxfId="718" totalsRowDxfId="717" tableBorderDxfId="716">
  <autoFilter ref="B11:E20"/>
  <tableColumns count="4">
    <tableColumn id="1" name="Shtepia" totalsRowLabel="Total" dataDxfId="714" totalsRowDxfId="715" dataCellStyle="Normal 16"/>
    <tableColumn id="2" name="Kosto e parashikuar" totalsRowFunction="sum" dataDxfId="712" totalsRowDxfId="713" dataCellStyle="Normal 16"/>
    <tableColumn id="3" name="Kosto faktike" totalsRowFunction="sum" dataDxfId="710" totalsRowDxfId="711" dataCellStyle="Normal 16"/>
    <tableColumn id="4" name="Diferenca" totalsRowFunction="sum" dataDxfId="708" totalsRowDxfId="709" dataCellStyle="Normal 16">
      <calculatedColumnFormula>Table114263850627486[Kosto e parashikuar]-Table114263850627486[Kosto faktike]</calculatedColumnFormula>
    </tableColumn>
  </tableColumns>
  <tableStyleInfo name="TableStyleMedium23" showFirstColumn="0" showLastColumn="0" showRowStripes="1" showColumnStripes="0"/>
</table>
</file>

<file path=xl/tables/table86.xml><?xml version="1.0" encoding="utf-8"?>
<table xmlns="http://schemas.openxmlformats.org/spreadsheetml/2006/main" id="86" name="Table415273951637587" displayName="Table415273951637587" ref="B33:E37" totalsRowCount="1" headerRowDxfId="707" dataDxfId="706" totalsRowDxfId="705" tableBorderDxfId="704">
  <autoFilter ref="B33:E36"/>
  <tableColumns count="4">
    <tableColumn id="1" name="Siguracioni" totalsRowLabel="Total" dataDxfId="702" totalsRowDxfId="703"/>
    <tableColumn id="2" name="Kosto e parashikuar" totalsRowFunction="sum" dataDxfId="700" totalsRowDxfId="701"/>
    <tableColumn id="3" name="Kosto faktike" totalsRowFunction="sum" dataDxfId="698" totalsRowDxfId="699"/>
    <tableColumn id="4" name="Diferenca" totalsRowFunction="sum" dataDxfId="696" totalsRowDxfId="697">
      <calculatedColumnFormula>Table415273951637587[Kosto e parashikuar]-Table415273951637587[Kosto faktike]</calculatedColumnFormula>
    </tableColumn>
  </tableColumns>
  <tableStyleInfo name="TableStyleMedium23" showFirstColumn="0" showLastColumn="0" showRowStripes="1" showColumnStripes="0"/>
</table>
</file>

<file path=xl/tables/table87.xml><?xml version="1.0" encoding="utf-8"?>
<table xmlns="http://schemas.openxmlformats.org/spreadsheetml/2006/main" id="87" name="Table1216284052647688" displayName="Table1216284052647688" ref="G47:J52" totalsRowCount="1" headerRowDxfId="695" dataDxfId="694" totalsRowDxfId="693" tableBorderDxfId="692">
  <autoFilter ref="G47:J51"/>
  <tableColumns count="4">
    <tableColumn id="1" name="Te tjera sipas nevojave" totalsRowLabel="Total" dataDxfId="690" totalsRowDxfId="691"/>
    <tableColumn id="2" name="Kosto e parashikuar" totalsRowFunction="sum" dataDxfId="688" totalsRowDxfId="689"/>
    <tableColumn id="3" name="Kosto faktike" totalsRowFunction="sum" dataDxfId="686" totalsRowDxfId="687"/>
    <tableColumn id="4" name="Diferenca" totalsRowFunction="sum" dataDxfId="684" totalsRowDxfId="685">
      <calculatedColumnFormula>Table1216284052647688[Kosto e parashikuar]-Table1216284052647688[Kosto faktike]</calculatedColumnFormula>
    </tableColumn>
  </tableColumns>
  <tableStyleInfo name="TableStyleMedium23" showFirstColumn="0" showLastColumn="0" showRowStripes="1" showColumnStripes="0"/>
</table>
</file>

<file path=xl/tables/table88.xml><?xml version="1.0" encoding="utf-8"?>
<table xmlns="http://schemas.openxmlformats.org/spreadsheetml/2006/main" id="88" name="Table617294153657789" displayName="Table617294153657789" ref="B45:E51" totalsRowCount="1" headerRowDxfId="683" dataDxfId="682" totalsRowDxfId="681" tableBorderDxfId="680">
  <autoFilter ref="B45:E50"/>
  <tableColumns count="4">
    <tableColumn id="1" name="Kafshet e shtepise" totalsRowLabel="Total" dataDxfId="678" totalsRowDxfId="679"/>
    <tableColumn id="2" name="Kosto e parashikuar" totalsRowFunction="sum" dataDxfId="676" totalsRowDxfId="677"/>
    <tableColumn id="3" name="Kosto faktike" totalsRowFunction="sum" dataDxfId="674" totalsRowDxfId="675"/>
    <tableColumn id="4" name="Diferenca" totalsRowFunction="sum" dataDxfId="672" totalsRowDxfId="673">
      <calculatedColumnFormula>Table617294153657789[Kosto e parashikuar]-Table617294153657789[Kosto faktike]</calculatedColumnFormula>
    </tableColumn>
  </tableColumns>
  <tableStyleInfo name="TableStyleMedium23" showFirstColumn="0" showLastColumn="0" showRowStripes="1" showColumnStripes="0"/>
</table>
</file>

<file path=xl/tables/table89.xml><?xml version="1.0" encoding="utf-8"?>
<table xmlns="http://schemas.openxmlformats.org/spreadsheetml/2006/main" id="89" name="Table1118304254667890" displayName="Table1118304254667890" ref="G41:J45" totalsRowCount="1" headerRowDxfId="671" dataDxfId="670" totalsRowDxfId="669" tableBorderDxfId="668">
  <autoFilter ref="G41:J44"/>
  <tableColumns count="4">
    <tableColumn id="1" name="Donacione" totalsRowLabel="Total" dataDxfId="666" totalsRowDxfId="667"/>
    <tableColumn id="2" name="Kosto e parashikuar" totalsRowFunction="sum" dataDxfId="664" totalsRowDxfId="665"/>
    <tableColumn id="3" name="Kosto faktike" totalsRowFunction="sum" dataDxfId="662" totalsRowDxfId="663"/>
    <tableColumn id="4" name="Diferenca" totalsRowFunction="sum" dataDxfId="660" totalsRowDxfId="661">
      <calculatedColumnFormula>Table1118304254667890[Kosto e parashikuar]-Table1118304254667890[Kosto faktike]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9" name="Table8" displayName="Table8" ref="G19:J26" totalsRowCount="1" headerRowDxfId="1631" dataDxfId="1630" totalsRowDxfId="1628" tableBorderDxfId="1629">
  <autoFilter ref="G19:J25"/>
  <tableColumns count="4">
    <tableColumn id="1" name="Kredia" totalsRowLabel="Total" dataDxfId="1627" totalsRowDxfId="1626"/>
    <tableColumn id="2" name="Kosto e parashikuar" totalsRowFunction="sum" dataDxfId="1625" totalsRowDxfId="1624"/>
    <tableColumn id="3" name="Kosto faktike" totalsRowFunction="sum" dataDxfId="1623" totalsRowDxfId="1622"/>
    <tableColumn id="4" name="Diferenca" totalsRowFunction="sum" dataDxfId="1621" totalsRowDxfId="1620">
      <calculatedColumnFormula>Table8[Kosto e parashikuar]-Table8[Kosto faktike]</calculatedColumnFormula>
    </tableColumn>
  </tableColumns>
  <tableStyleInfo name="TableStyleMedium23" showFirstColumn="0" showLastColumn="0" showRowStripes="1" showColumnStripes="0"/>
</table>
</file>

<file path=xl/tables/table90.xml><?xml version="1.0" encoding="utf-8"?>
<table xmlns="http://schemas.openxmlformats.org/spreadsheetml/2006/main" id="90" name="Table519314355677991" displayName="Table519314355677991" ref="B39:E43" totalsRowCount="1" headerRowDxfId="659" dataDxfId="658" totalsRowDxfId="657" tableBorderDxfId="656">
  <autoFilter ref="B39:E42"/>
  <tableColumns count="4">
    <tableColumn id="1" name="Ushqimi" totalsRowLabel="Total" dataDxfId="654" totalsRowDxfId="655"/>
    <tableColumn id="2" name="Kosto e parashikuar" totalsRowFunction="sum" dataDxfId="652" totalsRowDxfId="653"/>
    <tableColumn id="3" name="Kosto faktike" totalsRowFunction="sum" dataDxfId="650" totalsRowDxfId="651"/>
    <tableColumn id="4" name="Diferenca" totalsRowFunction="sum" dataDxfId="648" totalsRowDxfId="649">
      <calculatedColumnFormula>Table519314355677991[Kosto e parashikuar]-Table519314355677991[Kosto faktike]</calculatedColumnFormula>
    </tableColumn>
  </tableColumns>
  <tableStyleInfo name="TableStyleMedium23" showFirstColumn="0" showLastColumn="0" showRowStripes="1" showColumnStripes="0"/>
</table>
</file>

<file path=xl/tables/table91.xml><?xml version="1.0" encoding="utf-8"?>
<table xmlns="http://schemas.openxmlformats.org/spreadsheetml/2006/main" id="91" name="Table920324456688092" displayName="Table920324456688092" ref="G28:J33" totalsRowCount="1" headerRowDxfId="647" dataDxfId="646" totalsRowDxfId="645" tableBorderDxfId="644">
  <autoFilter ref="G28:J32"/>
  <tableColumns count="4">
    <tableColumn id="1" name="Taksa" totalsRowLabel="Total" dataDxfId="642" totalsRowDxfId="643"/>
    <tableColumn id="2" name="Kosto e parashikuar" totalsRowFunction="sum" dataDxfId="640" totalsRowDxfId="641"/>
    <tableColumn id="3" name="Kosto faktike" totalsRowFunction="sum" dataDxfId="638" totalsRowDxfId="639"/>
    <tableColumn id="4" name="Diferenca" totalsRowFunction="sum" dataDxfId="636" totalsRowDxfId="637">
      <calculatedColumnFormula>Table920324456688092[Kosto e parashikuar]-Table920324456688092[Kosto faktike]</calculatedColumnFormula>
    </tableColumn>
  </tableColumns>
  <tableStyleInfo name="TableStyleMedium23" showFirstColumn="0" showLastColumn="0" showRowStripes="1" showColumnStripes="0"/>
</table>
</file>

<file path=xl/tables/table92.xml><?xml version="1.0" encoding="utf-8"?>
<table xmlns="http://schemas.openxmlformats.org/spreadsheetml/2006/main" id="92" name="Table321334557698193" displayName="Table321334557698193" ref="B23:E31" totalsRowCount="1" headerRowDxfId="635" dataDxfId="634" totalsRowDxfId="633" tableBorderDxfId="632">
  <autoFilter ref="B23:E30"/>
  <tableColumns count="4">
    <tableColumn id="1" name="Transport" totalsRowLabel="Total" dataDxfId="630" totalsRowDxfId="631"/>
    <tableColumn id="2" name="Kosto e parashikuar" totalsRowFunction="sum" dataDxfId="628" totalsRowDxfId="629"/>
    <tableColumn id="3" name="Kosto faktike" totalsRowFunction="sum" dataDxfId="626" totalsRowDxfId="627"/>
    <tableColumn id="4" name="Diferenca" totalsRowFunction="sum" dataDxfId="624" totalsRowDxfId="625">
      <calculatedColumnFormula>Table321334557698193[Kosto e parashikuar]-Table321334557698193[Kosto faktike]</calculatedColumnFormula>
    </tableColumn>
  </tableColumns>
  <tableStyleInfo name="TableStyleMedium23" showFirstColumn="0" showLastColumn="0" showRowStripes="1" showColumnStripes="0"/>
</table>
</file>

<file path=xl/tables/table93.xml><?xml version="1.0" encoding="utf-8"?>
<table xmlns="http://schemas.openxmlformats.org/spreadsheetml/2006/main" id="93" name="Table822344658708294" displayName="Table822344658708294" ref="G19:J26" totalsRowCount="1" headerRowDxfId="623" dataDxfId="622" totalsRowDxfId="621" tableBorderDxfId="620">
  <autoFilter ref="G19:J25"/>
  <tableColumns count="4">
    <tableColumn id="1" name="Kredia" totalsRowLabel="Total" dataDxfId="618" totalsRowDxfId="619"/>
    <tableColumn id="2" name="Kosto e parashikuar" totalsRowFunction="sum" dataDxfId="616" totalsRowDxfId="617"/>
    <tableColumn id="3" name="Kosto faktike" totalsRowFunction="sum" dataDxfId="614" totalsRowDxfId="615"/>
    <tableColumn id="4" name="Diferenca" totalsRowFunction="sum" dataDxfId="612" totalsRowDxfId="613">
      <calculatedColumnFormula>Table822344658708294[Kosto e parashikuar]-Table822344658708294[Kosto faktike]</calculatedColumnFormula>
    </tableColumn>
  </tableColumns>
  <tableStyleInfo name="TableStyleMedium23" showFirstColumn="0" showLastColumn="0" showRowStripes="1" showColumnStripes="0"/>
</table>
</file>

<file path=xl/tables/table94.xml><?xml version="1.0" encoding="utf-8"?>
<table xmlns="http://schemas.openxmlformats.org/spreadsheetml/2006/main" id="94" name="Table1023354759718395" displayName="Table1023354759718395" ref="G35:J39" totalsRowCount="1" headerRowDxfId="611" dataDxfId="610" totalsRowDxfId="609" tableBorderDxfId="608">
  <autoFilter ref="G35:J38"/>
  <tableColumns count="4">
    <tableColumn id="1" name="Llogari kursimi" totalsRowLabel="Total" dataDxfId="606" totalsRowDxfId="607"/>
    <tableColumn id="2" name="Kosto e parashikuar" totalsRowFunction="sum" dataDxfId="604" totalsRowDxfId="605"/>
    <tableColumn id="3" name="Kosto faktike" totalsRowFunction="sum" dataDxfId="602" totalsRowDxfId="603"/>
    <tableColumn id="4" name="Diferenca" totalsRowFunction="sum" dataDxfId="600" totalsRowDxfId="601">
      <calculatedColumnFormula>Table1023354759718395[Kosto e parashikuar]-Table1023354759718395[Kosto faktike]</calculatedColumnFormula>
    </tableColumn>
  </tableColumns>
  <tableStyleInfo name="TableStyleMedium23" showFirstColumn="0" showLastColumn="0" showRowStripes="1" showColumnStripes="0"/>
</table>
</file>

<file path=xl/tables/table95.xml><?xml version="1.0" encoding="utf-8"?>
<table xmlns="http://schemas.openxmlformats.org/spreadsheetml/2006/main" id="95" name="Table724364860728496" displayName="Table724364860728496" ref="B53:E59" totalsRowCount="1" headerRowDxfId="599" dataDxfId="598" totalsRowDxfId="597" tableBorderDxfId="596">
  <autoFilter ref="B53:E58"/>
  <tableColumns count="4">
    <tableColumn id="1" name="Shpenzime personale" totalsRowLabel="Total" dataDxfId="594" totalsRowDxfId="595"/>
    <tableColumn id="2" name="Kosto e parashikuar" totalsRowFunction="sum" dataDxfId="592" totalsRowDxfId="593"/>
    <tableColumn id="3" name="Kosto faktike" totalsRowFunction="sum" dataDxfId="590" totalsRowDxfId="591"/>
    <tableColumn id="4" name="Diferenca" totalsRowFunction="sum" dataDxfId="588" totalsRowDxfId="589">
      <calculatedColumnFormula>Table724364860728496[Kosto e parashikuar]-Table724364860728496[Kosto faktike]</calculatedColumnFormula>
    </tableColumn>
  </tableColumns>
  <tableStyleInfo name="TableStyleMedium23" showFirstColumn="0" showLastColumn="0" showRowStripes="1" showColumnStripes="0"/>
</table>
</file>

<file path=xl/tables/table96.xml><?xml version="1.0" encoding="utf-8"?>
<table xmlns="http://schemas.openxmlformats.org/spreadsheetml/2006/main" id="96" name="Table225374961738597" displayName="Table225374961738597" ref="G11:J17" totalsRowCount="1" headerRowDxfId="587" dataDxfId="586" totalsRowDxfId="585" tableBorderDxfId="584">
  <autoFilter ref="G11:J16"/>
  <tableColumns count="4">
    <tableColumn id="1" name="Koha e lire" totalsRowLabel="Total" dataDxfId="582" totalsRowDxfId="583"/>
    <tableColumn id="2" name="Kosto e parashikuar" totalsRowFunction="sum" dataDxfId="580" totalsRowDxfId="581"/>
    <tableColumn id="3" name="Kosto faktike" totalsRowFunction="sum" dataDxfId="578" totalsRowDxfId="579"/>
    <tableColumn id="4" name="Diferenca" totalsRowFunction="sum" dataDxfId="576" totalsRowDxfId="577">
      <calculatedColumnFormula>Table225374961738597[Kosto e parashikuar]-Table225374961738597[Kosto faktike]</calculatedColumnFormula>
    </tableColumn>
  </tableColumns>
  <tableStyleInfo name="TableStyleMedium23" showFirstColumn="0" showLastColumn="0" showRowStripes="1" showColumnStripes="0"/>
</table>
</file>

<file path=xl/tables/table97.xml><?xml version="1.0" encoding="utf-8"?>
<table xmlns="http://schemas.openxmlformats.org/spreadsheetml/2006/main" id="97" name="Table11426385062748698" displayName="Table11426385062748698" ref="B11:E21" totalsRowCount="1" headerRowDxfId="575" dataDxfId="574" totalsRowDxfId="573" tableBorderDxfId="572">
  <autoFilter ref="B11:E20"/>
  <tableColumns count="4">
    <tableColumn id="1" name="Shtepia" totalsRowLabel="Total" dataDxfId="570" totalsRowDxfId="571" dataCellStyle="Normal 16"/>
    <tableColumn id="2" name="Kosto e parashikuar" totalsRowFunction="sum" dataDxfId="568" totalsRowDxfId="569" dataCellStyle="Normal 16"/>
    <tableColumn id="3" name="Kosto faktike" totalsRowFunction="sum" dataDxfId="566" totalsRowDxfId="567" dataCellStyle="Normal 16"/>
    <tableColumn id="4" name="Diferenca" totalsRowFunction="sum" dataDxfId="564" totalsRowDxfId="565" dataCellStyle="Normal 16">
      <calculatedColumnFormula>Table11426385062748698[Kosto e parashikuar]-Table11426385062748698[Kosto faktike]</calculatedColumnFormula>
    </tableColumn>
  </tableColumns>
  <tableStyleInfo name="TableStyleMedium23" showFirstColumn="0" showLastColumn="0" showRowStripes="1" showColumnStripes="0"/>
</table>
</file>

<file path=xl/tables/table98.xml><?xml version="1.0" encoding="utf-8"?>
<table xmlns="http://schemas.openxmlformats.org/spreadsheetml/2006/main" id="98" name="Table41527395163758799" displayName="Table41527395163758799" ref="B33:E37" totalsRowCount="1" headerRowDxfId="563" dataDxfId="562" totalsRowDxfId="561" tableBorderDxfId="560">
  <autoFilter ref="B33:E36"/>
  <tableColumns count="4">
    <tableColumn id="1" name="Siguracioni" totalsRowLabel="Total" dataDxfId="558" totalsRowDxfId="559"/>
    <tableColumn id="2" name="Kosto e parashikuar" totalsRowFunction="sum" dataDxfId="556" totalsRowDxfId="557"/>
    <tableColumn id="3" name="Kosto faktike" totalsRowFunction="sum" dataDxfId="554" totalsRowDxfId="555"/>
    <tableColumn id="4" name="Diferenca" totalsRowFunction="sum" dataDxfId="552" totalsRowDxfId="553">
      <calculatedColumnFormula>Table41527395163758799[Kosto e parashikuar]-Table41527395163758799[Kosto faktike]</calculatedColumnFormula>
    </tableColumn>
  </tableColumns>
  <tableStyleInfo name="TableStyleMedium23" showFirstColumn="0" showLastColumn="0" showRowStripes="1" showColumnStripes="0"/>
</table>
</file>

<file path=xl/tables/table99.xml><?xml version="1.0" encoding="utf-8"?>
<table xmlns="http://schemas.openxmlformats.org/spreadsheetml/2006/main" id="99" name="Table1216284052647688100" displayName="Table1216284052647688100" ref="G47:J52" totalsRowCount="1" headerRowDxfId="551" dataDxfId="550" totalsRowDxfId="549" tableBorderDxfId="548">
  <autoFilter ref="G47:J51"/>
  <tableColumns count="4">
    <tableColumn id="1" name="Te tjera sipas nevojave" totalsRowLabel="Total" dataDxfId="546" totalsRowDxfId="547"/>
    <tableColumn id="2" name="Kosto e parashikuar" totalsRowFunction="sum" dataDxfId="544" totalsRowDxfId="545"/>
    <tableColumn id="3" name="Kosto faktike" totalsRowFunction="sum" dataDxfId="542" totalsRowDxfId="543"/>
    <tableColumn id="4" name="Diferenca" totalsRowFunction="sum" dataDxfId="540" totalsRowDxfId="541">
      <calculatedColumnFormula>Table1216284052647688100[Kosto e parashikuar]-Table1216284052647688100[Kosto faktike]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3.xml"/><Relationship Id="rId13" Type="http://schemas.openxmlformats.org/officeDocument/2006/relationships/table" Target="../tables/table108.xml"/><Relationship Id="rId3" Type="http://schemas.openxmlformats.org/officeDocument/2006/relationships/table" Target="../tables/table98.xml"/><Relationship Id="rId7" Type="http://schemas.openxmlformats.org/officeDocument/2006/relationships/table" Target="../tables/table102.xml"/><Relationship Id="rId12" Type="http://schemas.openxmlformats.org/officeDocument/2006/relationships/table" Target="../tables/table107.xml"/><Relationship Id="rId2" Type="http://schemas.openxmlformats.org/officeDocument/2006/relationships/table" Target="../tables/table97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101.xml"/><Relationship Id="rId11" Type="http://schemas.openxmlformats.org/officeDocument/2006/relationships/table" Target="../tables/table106.xml"/><Relationship Id="rId5" Type="http://schemas.openxmlformats.org/officeDocument/2006/relationships/table" Target="../tables/table100.xml"/><Relationship Id="rId10" Type="http://schemas.openxmlformats.org/officeDocument/2006/relationships/table" Target="../tables/table105.xml"/><Relationship Id="rId4" Type="http://schemas.openxmlformats.org/officeDocument/2006/relationships/table" Target="../tables/table99.xml"/><Relationship Id="rId9" Type="http://schemas.openxmlformats.org/officeDocument/2006/relationships/table" Target="../tables/table10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5.xml"/><Relationship Id="rId13" Type="http://schemas.openxmlformats.org/officeDocument/2006/relationships/table" Target="../tables/table120.xml"/><Relationship Id="rId3" Type="http://schemas.openxmlformats.org/officeDocument/2006/relationships/table" Target="../tables/table110.xml"/><Relationship Id="rId7" Type="http://schemas.openxmlformats.org/officeDocument/2006/relationships/table" Target="../tables/table114.xml"/><Relationship Id="rId12" Type="http://schemas.openxmlformats.org/officeDocument/2006/relationships/table" Target="../tables/table119.xml"/><Relationship Id="rId2" Type="http://schemas.openxmlformats.org/officeDocument/2006/relationships/table" Target="../tables/table109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113.xml"/><Relationship Id="rId11" Type="http://schemas.openxmlformats.org/officeDocument/2006/relationships/table" Target="../tables/table118.xml"/><Relationship Id="rId5" Type="http://schemas.openxmlformats.org/officeDocument/2006/relationships/table" Target="../tables/table112.xml"/><Relationship Id="rId10" Type="http://schemas.openxmlformats.org/officeDocument/2006/relationships/table" Target="../tables/table117.xml"/><Relationship Id="rId4" Type="http://schemas.openxmlformats.org/officeDocument/2006/relationships/table" Target="../tables/table111.xml"/><Relationship Id="rId9" Type="http://schemas.openxmlformats.org/officeDocument/2006/relationships/table" Target="../tables/table11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7.xml"/><Relationship Id="rId13" Type="http://schemas.openxmlformats.org/officeDocument/2006/relationships/table" Target="../tables/table132.xml"/><Relationship Id="rId3" Type="http://schemas.openxmlformats.org/officeDocument/2006/relationships/table" Target="../tables/table122.xml"/><Relationship Id="rId7" Type="http://schemas.openxmlformats.org/officeDocument/2006/relationships/table" Target="../tables/table126.xml"/><Relationship Id="rId12" Type="http://schemas.openxmlformats.org/officeDocument/2006/relationships/table" Target="../tables/table131.xml"/><Relationship Id="rId2" Type="http://schemas.openxmlformats.org/officeDocument/2006/relationships/table" Target="../tables/table121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125.xml"/><Relationship Id="rId11" Type="http://schemas.openxmlformats.org/officeDocument/2006/relationships/table" Target="../tables/table130.xml"/><Relationship Id="rId5" Type="http://schemas.openxmlformats.org/officeDocument/2006/relationships/table" Target="../tables/table124.xml"/><Relationship Id="rId10" Type="http://schemas.openxmlformats.org/officeDocument/2006/relationships/table" Target="../tables/table129.xml"/><Relationship Id="rId4" Type="http://schemas.openxmlformats.org/officeDocument/2006/relationships/table" Target="../tables/table123.xml"/><Relationship Id="rId9" Type="http://schemas.openxmlformats.org/officeDocument/2006/relationships/table" Target="../tables/table12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9.xml"/><Relationship Id="rId13" Type="http://schemas.openxmlformats.org/officeDocument/2006/relationships/table" Target="../tables/table144.xml"/><Relationship Id="rId3" Type="http://schemas.openxmlformats.org/officeDocument/2006/relationships/table" Target="../tables/table134.xml"/><Relationship Id="rId7" Type="http://schemas.openxmlformats.org/officeDocument/2006/relationships/table" Target="../tables/table138.xml"/><Relationship Id="rId12" Type="http://schemas.openxmlformats.org/officeDocument/2006/relationships/table" Target="../tables/table143.xml"/><Relationship Id="rId2" Type="http://schemas.openxmlformats.org/officeDocument/2006/relationships/table" Target="../tables/table133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137.xml"/><Relationship Id="rId11" Type="http://schemas.openxmlformats.org/officeDocument/2006/relationships/table" Target="../tables/table142.xml"/><Relationship Id="rId5" Type="http://schemas.openxmlformats.org/officeDocument/2006/relationships/table" Target="../tables/table136.xml"/><Relationship Id="rId10" Type="http://schemas.openxmlformats.org/officeDocument/2006/relationships/table" Target="../tables/table141.xml"/><Relationship Id="rId4" Type="http://schemas.openxmlformats.org/officeDocument/2006/relationships/table" Target="../tables/table135.xml"/><Relationship Id="rId9" Type="http://schemas.openxmlformats.org/officeDocument/2006/relationships/table" Target="../tables/table14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9.xml"/><Relationship Id="rId13" Type="http://schemas.openxmlformats.org/officeDocument/2006/relationships/table" Target="../tables/table24.xml"/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12" Type="http://schemas.openxmlformats.org/officeDocument/2006/relationships/table" Target="../tables/table23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7.xml"/><Relationship Id="rId11" Type="http://schemas.openxmlformats.org/officeDocument/2006/relationships/table" Target="../tables/table22.xml"/><Relationship Id="rId5" Type="http://schemas.openxmlformats.org/officeDocument/2006/relationships/table" Target="../tables/table16.xml"/><Relationship Id="rId10" Type="http://schemas.openxmlformats.org/officeDocument/2006/relationships/table" Target="../tables/table21.xml"/><Relationship Id="rId4" Type="http://schemas.openxmlformats.org/officeDocument/2006/relationships/table" Target="../tables/table15.xml"/><Relationship Id="rId9" Type="http://schemas.openxmlformats.org/officeDocument/2006/relationships/table" Target="../tables/table2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1.xml"/><Relationship Id="rId13" Type="http://schemas.openxmlformats.org/officeDocument/2006/relationships/table" Target="../tables/table36.xml"/><Relationship Id="rId3" Type="http://schemas.openxmlformats.org/officeDocument/2006/relationships/table" Target="../tables/table26.xml"/><Relationship Id="rId7" Type="http://schemas.openxmlformats.org/officeDocument/2006/relationships/table" Target="../tables/table30.xml"/><Relationship Id="rId12" Type="http://schemas.openxmlformats.org/officeDocument/2006/relationships/table" Target="../tables/table35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9.xml"/><Relationship Id="rId11" Type="http://schemas.openxmlformats.org/officeDocument/2006/relationships/table" Target="../tables/table34.xml"/><Relationship Id="rId5" Type="http://schemas.openxmlformats.org/officeDocument/2006/relationships/table" Target="../tables/table28.xml"/><Relationship Id="rId10" Type="http://schemas.openxmlformats.org/officeDocument/2006/relationships/table" Target="../tables/table33.xml"/><Relationship Id="rId4" Type="http://schemas.openxmlformats.org/officeDocument/2006/relationships/table" Target="../tables/table27.xml"/><Relationship Id="rId9" Type="http://schemas.openxmlformats.org/officeDocument/2006/relationships/table" Target="../tables/table3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3.xml"/><Relationship Id="rId13" Type="http://schemas.openxmlformats.org/officeDocument/2006/relationships/table" Target="../tables/table48.xml"/><Relationship Id="rId3" Type="http://schemas.openxmlformats.org/officeDocument/2006/relationships/table" Target="../tables/table38.xml"/><Relationship Id="rId7" Type="http://schemas.openxmlformats.org/officeDocument/2006/relationships/table" Target="../tables/table42.xml"/><Relationship Id="rId12" Type="http://schemas.openxmlformats.org/officeDocument/2006/relationships/table" Target="../tables/table47.xml"/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1.xml"/><Relationship Id="rId11" Type="http://schemas.openxmlformats.org/officeDocument/2006/relationships/table" Target="../tables/table46.xml"/><Relationship Id="rId5" Type="http://schemas.openxmlformats.org/officeDocument/2006/relationships/table" Target="../tables/table40.xml"/><Relationship Id="rId10" Type="http://schemas.openxmlformats.org/officeDocument/2006/relationships/table" Target="../tables/table45.xml"/><Relationship Id="rId4" Type="http://schemas.openxmlformats.org/officeDocument/2006/relationships/table" Target="../tables/table39.xml"/><Relationship Id="rId9" Type="http://schemas.openxmlformats.org/officeDocument/2006/relationships/table" Target="../tables/table4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5.xml"/><Relationship Id="rId13" Type="http://schemas.openxmlformats.org/officeDocument/2006/relationships/table" Target="../tables/table60.xml"/><Relationship Id="rId3" Type="http://schemas.openxmlformats.org/officeDocument/2006/relationships/table" Target="../tables/table50.xml"/><Relationship Id="rId7" Type="http://schemas.openxmlformats.org/officeDocument/2006/relationships/table" Target="../tables/table54.xml"/><Relationship Id="rId12" Type="http://schemas.openxmlformats.org/officeDocument/2006/relationships/table" Target="../tables/table59.xml"/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3.xml"/><Relationship Id="rId11" Type="http://schemas.openxmlformats.org/officeDocument/2006/relationships/table" Target="../tables/table58.xml"/><Relationship Id="rId5" Type="http://schemas.openxmlformats.org/officeDocument/2006/relationships/table" Target="../tables/table52.xml"/><Relationship Id="rId10" Type="http://schemas.openxmlformats.org/officeDocument/2006/relationships/table" Target="../tables/table57.xml"/><Relationship Id="rId4" Type="http://schemas.openxmlformats.org/officeDocument/2006/relationships/table" Target="../tables/table51.xml"/><Relationship Id="rId9" Type="http://schemas.openxmlformats.org/officeDocument/2006/relationships/table" Target="../tables/table5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7.xml"/><Relationship Id="rId13" Type="http://schemas.openxmlformats.org/officeDocument/2006/relationships/table" Target="../tables/table72.xml"/><Relationship Id="rId3" Type="http://schemas.openxmlformats.org/officeDocument/2006/relationships/table" Target="../tables/table62.xml"/><Relationship Id="rId7" Type="http://schemas.openxmlformats.org/officeDocument/2006/relationships/table" Target="../tables/table66.xml"/><Relationship Id="rId12" Type="http://schemas.openxmlformats.org/officeDocument/2006/relationships/table" Target="../tables/table71.xml"/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65.xml"/><Relationship Id="rId11" Type="http://schemas.openxmlformats.org/officeDocument/2006/relationships/table" Target="../tables/table70.xml"/><Relationship Id="rId5" Type="http://schemas.openxmlformats.org/officeDocument/2006/relationships/table" Target="../tables/table64.xml"/><Relationship Id="rId10" Type="http://schemas.openxmlformats.org/officeDocument/2006/relationships/table" Target="../tables/table69.xml"/><Relationship Id="rId4" Type="http://schemas.openxmlformats.org/officeDocument/2006/relationships/table" Target="../tables/table63.xml"/><Relationship Id="rId9" Type="http://schemas.openxmlformats.org/officeDocument/2006/relationships/table" Target="../tables/table6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9.xml"/><Relationship Id="rId13" Type="http://schemas.openxmlformats.org/officeDocument/2006/relationships/table" Target="../tables/table84.xml"/><Relationship Id="rId3" Type="http://schemas.openxmlformats.org/officeDocument/2006/relationships/table" Target="../tables/table74.xml"/><Relationship Id="rId7" Type="http://schemas.openxmlformats.org/officeDocument/2006/relationships/table" Target="../tables/table78.xml"/><Relationship Id="rId12" Type="http://schemas.openxmlformats.org/officeDocument/2006/relationships/table" Target="../tables/table83.xml"/><Relationship Id="rId2" Type="http://schemas.openxmlformats.org/officeDocument/2006/relationships/table" Target="../tables/table73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77.xml"/><Relationship Id="rId11" Type="http://schemas.openxmlformats.org/officeDocument/2006/relationships/table" Target="../tables/table82.xml"/><Relationship Id="rId5" Type="http://schemas.openxmlformats.org/officeDocument/2006/relationships/table" Target="../tables/table76.xml"/><Relationship Id="rId10" Type="http://schemas.openxmlformats.org/officeDocument/2006/relationships/table" Target="../tables/table81.xml"/><Relationship Id="rId4" Type="http://schemas.openxmlformats.org/officeDocument/2006/relationships/table" Target="../tables/table75.xml"/><Relationship Id="rId9" Type="http://schemas.openxmlformats.org/officeDocument/2006/relationships/table" Target="../tables/table8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1.xml"/><Relationship Id="rId13" Type="http://schemas.openxmlformats.org/officeDocument/2006/relationships/table" Target="../tables/table96.xml"/><Relationship Id="rId3" Type="http://schemas.openxmlformats.org/officeDocument/2006/relationships/table" Target="../tables/table86.xml"/><Relationship Id="rId7" Type="http://schemas.openxmlformats.org/officeDocument/2006/relationships/table" Target="../tables/table90.xml"/><Relationship Id="rId12" Type="http://schemas.openxmlformats.org/officeDocument/2006/relationships/table" Target="../tables/table95.xml"/><Relationship Id="rId2" Type="http://schemas.openxmlformats.org/officeDocument/2006/relationships/table" Target="../tables/table85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89.xml"/><Relationship Id="rId11" Type="http://schemas.openxmlformats.org/officeDocument/2006/relationships/table" Target="../tables/table94.xml"/><Relationship Id="rId5" Type="http://schemas.openxmlformats.org/officeDocument/2006/relationships/table" Target="../tables/table88.xml"/><Relationship Id="rId10" Type="http://schemas.openxmlformats.org/officeDocument/2006/relationships/table" Target="../tables/table93.xml"/><Relationship Id="rId4" Type="http://schemas.openxmlformats.org/officeDocument/2006/relationships/table" Target="../tables/table87.xml"/><Relationship Id="rId9" Type="http://schemas.openxmlformats.org/officeDocument/2006/relationships/table" Target="../tables/table9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8"/>
  <sheetViews>
    <sheetView showGridLines="0" tabSelected="1" workbookViewId="0">
      <selection activeCell="A6" sqref="A6"/>
    </sheetView>
  </sheetViews>
  <sheetFormatPr defaultRowHeight="15" x14ac:dyDescent="0.25"/>
  <cols>
    <col min="1" max="1" width="21.5703125" bestFit="1" customWidth="1"/>
    <col min="2" max="2" width="7" bestFit="1" customWidth="1"/>
    <col min="3" max="3" width="5.5703125" bestFit="1" customWidth="1"/>
    <col min="4" max="4" width="7" bestFit="1" customWidth="1"/>
    <col min="5" max="5" width="5.5703125" bestFit="1" customWidth="1"/>
    <col min="6" max="6" width="7" bestFit="1" customWidth="1"/>
    <col min="7" max="7" width="7" customWidth="1"/>
    <col min="8" max="8" width="7" bestFit="1" customWidth="1"/>
    <col min="9" max="9" width="7" customWidth="1"/>
    <col min="10" max="10" width="7" bestFit="1" customWidth="1"/>
    <col min="11" max="11" width="7" customWidth="1"/>
    <col min="12" max="12" width="7" bestFit="1" customWidth="1"/>
    <col min="13" max="13" width="7" customWidth="1"/>
    <col min="14" max="14" width="7" bestFit="1" customWidth="1"/>
    <col min="15" max="15" width="7" customWidth="1"/>
    <col min="16" max="16" width="7" bestFit="1" customWidth="1"/>
    <col min="17" max="17" width="7" customWidth="1"/>
    <col min="18" max="18" width="7" bestFit="1" customWidth="1"/>
    <col min="19" max="19" width="7" customWidth="1"/>
    <col min="20" max="20" width="7" bestFit="1" customWidth="1"/>
    <col min="21" max="21" width="7" customWidth="1"/>
    <col min="22" max="22" width="7" bestFit="1" customWidth="1"/>
    <col min="23" max="23" width="7" customWidth="1"/>
    <col min="24" max="24" width="7" bestFit="1" customWidth="1"/>
  </cols>
  <sheetData>
    <row r="3" spans="1:25" x14ac:dyDescent="0.25">
      <c r="A3" s="52" t="s">
        <v>66</v>
      </c>
      <c r="B3" s="53" t="s">
        <v>67</v>
      </c>
      <c r="C3" s="54" t="s">
        <v>68</v>
      </c>
      <c r="D3" s="55" t="s">
        <v>69</v>
      </c>
      <c r="E3" s="54" t="s">
        <v>68</v>
      </c>
      <c r="F3" s="55" t="s">
        <v>70</v>
      </c>
      <c r="G3" s="54" t="s">
        <v>68</v>
      </c>
      <c r="H3" s="55" t="s">
        <v>71</v>
      </c>
      <c r="I3" s="54" t="s">
        <v>68</v>
      </c>
      <c r="J3" s="55" t="s">
        <v>72</v>
      </c>
      <c r="K3" s="54" t="s">
        <v>68</v>
      </c>
      <c r="L3" s="55" t="s">
        <v>73</v>
      </c>
      <c r="M3" s="54" t="s">
        <v>68</v>
      </c>
      <c r="N3" s="55" t="s">
        <v>74</v>
      </c>
      <c r="O3" s="54" t="s">
        <v>68</v>
      </c>
      <c r="P3" s="55" t="s">
        <v>75</v>
      </c>
      <c r="Q3" s="54" t="s">
        <v>68</v>
      </c>
      <c r="R3" s="55" t="s">
        <v>76</v>
      </c>
      <c r="S3" s="54" t="s">
        <v>68</v>
      </c>
      <c r="T3" s="55" t="s">
        <v>77</v>
      </c>
      <c r="U3" s="54" t="s">
        <v>68</v>
      </c>
      <c r="V3" s="55" t="s">
        <v>78</v>
      </c>
      <c r="W3" s="54" t="s">
        <v>68</v>
      </c>
      <c r="X3" s="56" t="s">
        <v>79</v>
      </c>
      <c r="Y3" s="54" t="s">
        <v>68</v>
      </c>
    </row>
    <row r="4" spans="1:25" x14ac:dyDescent="0.25">
      <c r="A4" s="57" t="str">
        <f>'Janar 2020'!$B$11</f>
        <v>Shtepia</v>
      </c>
      <c r="B4" s="58">
        <f>'Janar 2020'!$D$21</f>
        <v>1740</v>
      </c>
      <c r="C4" s="59">
        <f>B4/$B$18</f>
        <v>0.57999999999999996</v>
      </c>
      <c r="D4" s="58">
        <f>'Shkurt 2020'!$D$21</f>
        <v>1740</v>
      </c>
      <c r="E4" s="59">
        <f>D4/$B$18</f>
        <v>0.57999999999999996</v>
      </c>
      <c r="F4" s="58">
        <f>'Mars 2020'!$D$21</f>
        <v>1740</v>
      </c>
      <c r="G4" s="59">
        <f>F4/$B$18</f>
        <v>0.57999999999999996</v>
      </c>
      <c r="H4" s="58">
        <f>'Prill 2020'!$D$21</f>
        <v>1740</v>
      </c>
      <c r="I4" s="59">
        <f>H4/$B$18</f>
        <v>0.57999999999999996</v>
      </c>
      <c r="J4" s="58">
        <f>'Maj 2020'!$D$21</f>
        <v>1740</v>
      </c>
      <c r="K4" s="59">
        <f>J4/$B$18</f>
        <v>0.57999999999999996</v>
      </c>
      <c r="L4" s="58">
        <f>'Qershor 2020'!$D$21</f>
        <v>1740</v>
      </c>
      <c r="M4" s="59">
        <f>L4/$B$18</f>
        <v>0.57999999999999996</v>
      </c>
      <c r="N4" s="58">
        <f>'Korrik 2020'!$D$21</f>
        <v>1740</v>
      </c>
      <c r="O4" s="59">
        <f>N4/$B$18</f>
        <v>0.57999999999999996</v>
      </c>
      <c r="P4" s="58">
        <f>'Gusht 2020'!$D$21</f>
        <v>1740</v>
      </c>
      <c r="Q4" s="59">
        <f>P4/$B$18</f>
        <v>0.57999999999999996</v>
      </c>
      <c r="R4" s="58">
        <f>'Shtator 2020'!$D$21</f>
        <v>1740</v>
      </c>
      <c r="S4" s="59">
        <f>R4/$B$18</f>
        <v>0.57999999999999996</v>
      </c>
      <c r="T4" s="58">
        <f>'Tetor 2020'!$D$21</f>
        <v>1740</v>
      </c>
      <c r="U4" s="59">
        <f>T4/$B$18</f>
        <v>0.57999999999999996</v>
      </c>
      <c r="V4" s="58">
        <f>'Nentor 2020'!$D$21</f>
        <v>1740</v>
      </c>
      <c r="W4" s="59">
        <f>V4/$B$18</f>
        <v>0.57999999999999996</v>
      </c>
      <c r="X4" s="58">
        <f>'Dhjetor 2020'!$D$21</f>
        <v>1740</v>
      </c>
      <c r="Y4" s="59">
        <f>X4/$B$18</f>
        <v>0.57999999999999996</v>
      </c>
    </row>
    <row r="5" spans="1:25" x14ac:dyDescent="0.25">
      <c r="A5" s="57" t="str">
        <f>'Janar 2020'!$B$23</f>
        <v>Transport</v>
      </c>
      <c r="B5" s="58">
        <f>'Janar 2020'!$D$31</f>
        <v>250</v>
      </c>
      <c r="C5" s="59">
        <f t="shared" ref="C5:E17" si="0">B5/$B$18</f>
        <v>8.3333333333333329E-2</v>
      </c>
      <c r="D5" s="58">
        <f>'Shkurt 2020'!$D$31</f>
        <v>250</v>
      </c>
      <c r="E5" s="59">
        <f t="shared" si="0"/>
        <v>8.3333333333333329E-2</v>
      </c>
      <c r="F5" s="58">
        <f>'Mars 2020'!$D$31</f>
        <v>250</v>
      </c>
      <c r="G5" s="59">
        <f t="shared" ref="G5" si="1">F5/$B$18</f>
        <v>8.3333333333333329E-2</v>
      </c>
      <c r="H5" s="58">
        <f>'Prill 2020'!$D$31</f>
        <v>250</v>
      </c>
      <c r="I5" s="59">
        <f t="shared" ref="I5" si="2">H5/$B$18</f>
        <v>8.3333333333333329E-2</v>
      </c>
      <c r="J5" s="58">
        <f>'Maj 2020'!$D$31</f>
        <v>250</v>
      </c>
      <c r="K5" s="59">
        <f t="shared" ref="K5" si="3">J5/$B$18</f>
        <v>8.3333333333333329E-2</v>
      </c>
      <c r="L5" s="58">
        <f>'Qershor 2020'!$D$31</f>
        <v>250</v>
      </c>
      <c r="M5" s="59">
        <f t="shared" ref="M5" si="4">L5/$B$18</f>
        <v>8.3333333333333329E-2</v>
      </c>
      <c r="N5" s="58">
        <f>'Korrik 2020'!$D$31</f>
        <v>250</v>
      </c>
      <c r="O5" s="59">
        <f t="shared" ref="O5" si="5">N5/$B$18</f>
        <v>8.3333333333333329E-2</v>
      </c>
      <c r="P5" s="58">
        <f>'Gusht 2020'!$D$31</f>
        <v>250</v>
      </c>
      <c r="Q5" s="59">
        <f t="shared" ref="Q5" si="6">P5/$B$18</f>
        <v>8.3333333333333329E-2</v>
      </c>
      <c r="R5" s="58">
        <f>'Shtator 2020'!$D$31</f>
        <v>250</v>
      </c>
      <c r="S5" s="59">
        <f t="shared" ref="S5" si="7">R5/$B$18</f>
        <v>8.3333333333333329E-2</v>
      </c>
      <c r="T5" s="58">
        <f>'Tetor 2020'!$D$31</f>
        <v>250</v>
      </c>
      <c r="U5" s="59">
        <f t="shared" ref="U5" si="8">T5/$B$18</f>
        <v>8.3333333333333329E-2</v>
      </c>
      <c r="V5" s="58">
        <f>'Nentor 2020'!$D$31</f>
        <v>250</v>
      </c>
      <c r="W5" s="59">
        <f t="shared" ref="W5:Y5" si="9">V5/$B$18</f>
        <v>8.3333333333333329E-2</v>
      </c>
      <c r="X5" s="58">
        <f>'Dhjetor 2020'!$D$31</f>
        <v>250</v>
      </c>
      <c r="Y5" s="59">
        <f t="shared" si="9"/>
        <v>8.3333333333333329E-2</v>
      </c>
    </row>
    <row r="6" spans="1:25" x14ac:dyDescent="0.25">
      <c r="A6" s="57" t="str">
        <f>'Janar 2020'!$B$33</f>
        <v>Siguracioni</v>
      </c>
      <c r="B6" s="58">
        <f>'Janar 2020'!$D$37</f>
        <v>0</v>
      </c>
      <c r="C6" s="59">
        <f t="shared" si="0"/>
        <v>0</v>
      </c>
      <c r="D6" s="58">
        <f>'Shkurt 2020'!$D$37</f>
        <v>0</v>
      </c>
      <c r="E6" s="59">
        <f t="shared" si="0"/>
        <v>0</v>
      </c>
      <c r="F6" s="58">
        <f>'Mars 2020'!$D$37</f>
        <v>0</v>
      </c>
      <c r="G6" s="59">
        <f t="shared" ref="G6" si="10">F6/$B$18</f>
        <v>0</v>
      </c>
      <c r="H6" s="58">
        <f>'Prill 2020'!$D$37</f>
        <v>0</v>
      </c>
      <c r="I6" s="59">
        <f t="shared" ref="I6" si="11">H6/$B$18</f>
        <v>0</v>
      </c>
      <c r="J6" s="58">
        <f>'Maj 2020'!$D$37</f>
        <v>0</v>
      </c>
      <c r="K6" s="59">
        <f t="shared" ref="K6" si="12">J6/$B$18</f>
        <v>0</v>
      </c>
      <c r="L6" s="58">
        <f>'Qershor 2020'!$D$37</f>
        <v>0</v>
      </c>
      <c r="M6" s="59">
        <f t="shared" ref="M6" si="13">L6/$B$18</f>
        <v>0</v>
      </c>
      <c r="N6" s="58">
        <f>'Korrik 2020'!$D$37</f>
        <v>0</v>
      </c>
      <c r="O6" s="59">
        <f t="shared" ref="O6" si="14">N6/$B$18</f>
        <v>0</v>
      </c>
      <c r="P6" s="58">
        <f>'Gusht 2020'!$D$37</f>
        <v>0</v>
      </c>
      <c r="Q6" s="59">
        <f t="shared" ref="Q6" si="15">P6/$B$18</f>
        <v>0</v>
      </c>
      <c r="R6" s="58">
        <f>'Shtator 2020'!$D$37</f>
        <v>0</v>
      </c>
      <c r="S6" s="59">
        <f t="shared" ref="S6" si="16">R6/$B$18</f>
        <v>0</v>
      </c>
      <c r="T6" s="58">
        <f>'Tetor 2020'!$D$37</f>
        <v>0</v>
      </c>
      <c r="U6" s="59">
        <f t="shared" ref="U6" si="17">T6/$B$18</f>
        <v>0</v>
      </c>
      <c r="V6" s="58">
        <f>'Nentor 2020'!$D$37</f>
        <v>0</v>
      </c>
      <c r="W6" s="59">
        <f t="shared" ref="W6:Y6" si="18">V6/$B$18</f>
        <v>0</v>
      </c>
      <c r="X6" s="58">
        <f>'Dhjetor 2020'!$D$37</f>
        <v>0</v>
      </c>
      <c r="Y6" s="59">
        <f t="shared" si="18"/>
        <v>0</v>
      </c>
    </row>
    <row r="7" spans="1:25" x14ac:dyDescent="0.25">
      <c r="A7" s="57" t="str">
        <f>'Janar 2020'!$B$39</f>
        <v>Ushqimi</v>
      </c>
      <c r="B7" s="58">
        <f>'Janar 2020'!$D$43</f>
        <v>0</v>
      </c>
      <c r="C7" s="59">
        <f t="shared" si="0"/>
        <v>0</v>
      </c>
      <c r="D7" s="58">
        <f>'Shkurt 2020'!$D$43</f>
        <v>0</v>
      </c>
      <c r="E7" s="59">
        <f t="shared" si="0"/>
        <v>0</v>
      </c>
      <c r="F7" s="58">
        <f>'Mars 2020'!$D$43</f>
        <v>0</v>
      </c>
      <c r="G7" s="59">
        <f t="shared" ref="G7" si="19">F7/$B$18</f>
        <v>0</v>
      </c>
      <c r="H7" s="58">
        <f>'Prill 2020'!$D$43</f>
        <v>0</v>
      </c>
      <c r="I7" s="59">
        <f t="shared" ref="I7" si="20">H7/$B$18</f>
        <v>0</v>
      </c>
      <c r="J7" s="58">
        <f>'Maj 2020'!$D$43</f>
        <v>0</v>
      </c>
      <c r="K7" s="59">
        <f t="shared" ref="K7" si="21">J7/$B$18</f>
        <v>0</v>
      </c>
      <c r="L7" s="58">
        <f>'Qershor 2020'!$D$43</f>
        <v>0</v>
      </c>
      <c r="M7" s="59">
        <f t="shared" ref="M7" si="22">L7/$B$18</f>
        <v>0</v>
      </c>
      <c r="N7" s="58">
        <f>'Korrik 2020'!$D$43</f>
        <v>0</v>
      </c>
      <c r="O7" s="59">
        <f t="shared" ref="O7" si="23">N7/$B$18</f>
        <v>0</v>
      </c>
      <c r="P7" s="58">
        <f>'Gusht 2020'!$D$43</f>
        <v>0</v>
      </c>
      <c r="Q7" s="59">
        <f t="shared" ref="Q7" si="24">P7/$B$18</f>
        <v>0</v>
      </c>
      <c r="R7" s="58">
        <f>'Shtator 2020'!$D$43</f>
        <v>0</v>
      </c>
      <c r="S7" s="59">
        <f t="shared" ref="S7" si="25">R7/$B$18</f>
        <v>0</v>
      </c>
      <c r="T7" s="58">
        <f>'Tetor 2020'!$D$43</f>
        <v>0</v>
      </c>
      <c r="U7" s="59">
        <f t="shared" ref="U7" si="26">T7/$B$18</f>
        <v>0</v>
      </c>
      <c r="V7" s="58">
        <f>'Nentor 2020'!$D$43</f>
        <v>0</v>
      </c>
      <c r="W7" s="59">
        <f t="shared" ref="W7:Y7" si="27">V7/$B$18</f>
        <v>0</v>
      </c>
      <c r="X7" s="58">
        <f>'Dhjetor 2020'!$D$43</f>
        <v>0</v>
      </c>
      <c r="Y7" s="59">
        <f t="shared" si="27"/>
        <v>0</v>
      </c>
    </row>
    <row r="8" spans="1:25" x14ac:dyDescent="0.25">
      <c r="A8" s="57" t="str">
        <f>'Janar 2020'!$B$45</f>
        <v>Kafshet e shtepise</v>
      </c>
      <c r="B8" s="58">
        <f>'Janar 2020'!$D$51</f>
        <v>0</v>
      </c>
      <c r="C8" s="59">
        <f t="shared" si="0"/>
        <v>0</v>
      </c>
      <c r="D8" s="58">
        <f>'Shkurt 2020'!$D$51</f>
        <v>0</v>
      </c>
      <c r="E8" s="59">
        <f t="shared" si="0"/>
        <v>0</v>
      </c>
      <c r="F8" s="58">
        <f>'Mars 2020'!$D$51</f>
        <v>0</v>
      </c>
      <c r="G8" s="59">
        <f t="shared" ref="G8" si="28">F8/$B$18</f>
        <v>0</v>
      </c>
      <c r="H8" s="58">
        <f>'Prill 2020'!$D$51</f>
        <v>0</v>
      </c>
      <c r="I8" s="59">
        <f t="shared" ref="I8" si="29">H8/$B$18</f>
        <v>0</v>
      </c>
      <c r="J8" s="58">
        <f>'Maj 2020'!$D$51</f>
        <v>0</v>
      </c>
      <c r="K8" s="59">
        <f t="shared" ref="K8" si="30">J8/$B$18</f>
        <v>0</v>
      </c>
      <c r="L8" s="58">
        <f>'Qershor 2020'!$D$51</f>
        <v>0</v>
      </c>
      <c r="M8" s="59">
        <f t="shared" ref="M8" si="31">L8/$B$18</f>
        <v>0</v>
      </c>
      <c r="N8" s="58">
        <f>'Korrik 2020'!$D$51</f>
        <v>0</v>
      </c>
      <c r="O8" s="59">
        <f t="shared" ref="O8" si="32">N8/$B$18</f>
        <v>0</v>
      </c>
      <c r="P8" s="58">
        <f>'Gusht 2020'!$D$51</f>
        <v>0</v>
      </c>
      <c r="Q8" s="59">
        <f t="shared" ref="Q8" si="33">P8/$B$18</f>
        <v>0</v>
      </c>
      <c r="R8" s="58">
        <f>'Shtator 2020'!$D$51</f>
        <v>0</v>
      </c>
      <c r="S8" s="59">
        <f t="shared" ref="S8" si="34">R8/$B$18</f>
        <v>0</v>
      </c>
      <c r="T8" s="58">
        <f>'Tetor 2020'!$D$51</f>
        <v>0</v>
      </c>
      <c r="U8" s="59">
        <f t="shared" ref="U8" si="35">T8/$B$18</f>
        <v>0</v>
      </c>
      <c r="V8" s="58">
        <f>'Nentor 2020'!$D$51</f>
        <v>0</v>
      </c>
      <c r="W8" s="59">
        <f t="shared" ref="W8:Y8" si="36">V8/$B$18</f>
        <v>0</v>
      </c>
      <c r="X8" s="58">
        <f>'Dhjetor 2020'!$D$51</f>
        <v>0</v>
      </c>
      <c r="Y8" s="59">
        <f t="shared" si="36"/>
        <v>0</v>
      </c>
    </row>
    <row r="9" spans="1:25" x14ac:dyDescent="0.25">
      <c r="A9" s="57" t="str">
        <f>'Janar 2020'!$B$53</f>
        <v>Shpenzime personale</v>
      </c>
      <c r="B9" s="58">
        <f>'Janar 2020'!$D$59</f>
        <v>0</v>
      </c>
      <c r="C9" s="59">
        <f t="shared" si="0"/>
        <v>0</v>
      </c>
      <c r="D9" s="58">
        <f>'Shkurt 2020'!$D$59</f>
        <v>0</v>
      </c>
      <c r="E9" s="59">
        <f t="shared" si="0"/>
        <v>0</v>
      </c>
      <c r="F9" s="58">
        <f>'Mars 2020'!$D$59</f>
        <v>0</v>
      </c>
      <c r="G9" s="59">
        <f t="shared" ref="G9" si="37">F9/$B$18</f>
        <v>0</v>
      </c>
      <c r="H9" s="58">
        <f>'Prill 2020'!$D$59</f>
        <v>0</v>
      </c>
      <c r="I9" s="59">
        <f t="shared" ref="I9" si="38">H9/$B$18</f>
        <v>0</v>
      </c>
      <c r="J9" s="58">
        <f>'Maj 2020'!$D$59</f>
        <v>0</v>
      </c>
      <c r="K9" s="59">
        <f t="shared" ref="K9" si="39">J9/$B$18</f>
        <v>0</v>
      </c>
      <c r="L9" s="58">
        <f>'Qershor 2020'!$D$59</f>
        <v>0</v>
      </c>
      <c r="M9" s="59">
        <f t="shared" ref="M9" si="40">L9/$B$18</f>
        <v>0</v>
      </c>
      <c r="N9" s="58">
        <f>'Korrik 2020'!$D$59</f>
        <v>0</v>
      </c>
      <c r="O9" s="59">
        <f t="shared" ref="O9" si="41">N9/$B$18</f>
        <v>0</v>
      </c>
      <c r="P9" s="58">
        <f>'Gusht 2020'!$D$59</f>
        <v>0</v>
      </c>
      <c r="Q9" s="59">
        <f t="shared" ref="Q9" si="42">P9/$B$18</f>
        <v>0</v>
      </c>
      <c r="R9" s="58">
        <f>'Shtator 2020'!$D$59</f>
        <v>0</v>
      </c>
      <c r="S9" s="59">
        <f t="shared" ref="S9" si="43">R9/$B$18</f>
        <v>0</v>
      </c>
      <c r="T9" s="58">
        <f>'Tetor 2020'!$D$59</f>
        <v>0</v>
      </c>
      <c r="U9" s="59">
        <f t="shared" ref="U9" si="44">T9/$B$18</f>
        <v>0</v>
      </c>
      <c r="V9" s="58">
        <f>'Nentor 2020'!$D$59</f>
        <v>0</v>
      </c>
      <c r="W9" s="59">
        <f t="shared" ref="W9:Y9" si="45">V9/$B$18</f>
        <v>0</v>
      </c>
      <c r="X9" s="58">
        <f>'Dhjetor 2020'!$D$59</f>
        <v>0</v>
      </c>
      <c r="Y9" s="59">
        <f t="shared" si="45"/>
        <v>0</v>
      </c>
    </row>
    <row r="10" spans="1:25" x14ac:dyDescent="0.25">
      <c r="A10" s="57" t="str">
        <f>'Janar 2020'!$G$11</f>
        <v>Koha e lire</v>
      </c>
      <c r="B10" s="58">
        <f>'Janar 2020'!$I$17</f>
        <v>50</v>
      </c>
      <c r="C10" s="59">
        <f t="shared" si="0"/>
        <v>1.6666666666666666E-2</v>
      </c>
      <c r="D10" s="58">
        <f>'Shkurt 2020'!$I$17</f>
        <v>50</v>
      </c>
      <c r="E10" s="59">
        <f t="shared" si="0"/>
        <v>1.6666666666666666E-2</v>
      </c>
      <c r="F10" s="58">
        <f>'Mars 2020'!$I$17</f>
        <v>50</v>
      </c>
      <c r="G10" s="59">
        <f t="shared" ref="G10" si="46">F10/$B$18</f>
        <v>1.6666666666666666E-2</v>
      </c>
      <c r="H10" s="58">
        <f>'Prill 2020'!$I$17</f>
        <v>50</v>
      </c>
      <c r="I10" s="59">
        <f t="shared" ref="I10" si="47">H10/$B$18</f>
        <v>1.6666666666666666E-2</v>
      </c>
      <c r="J10" s="58">
        <f>'Maj 2020'!$I$17</f>
        <v>50</v>
      </c>
      <c r="K10" s="59">
        <f t="shared" ref="K10" si="48">J10/$B$18</f>
        <v>1.6666666666666666E-2</v>
      </c>
      <c r="L10" s="58">
        <f>'Qershor 2020'!$I$17</f>
        <v>50</v>
      </c>
      <c r="M10" s="59">
        <f t="shared" ref="M10" si="49">L10/$B$18</f>
        <v>1.6666666666666666E-2</v>
      </c>
      <c r="N10" s="58">
        <f>'Korrik 2020'!$I$17</f>
        <v>50</v>
      </c>
      <c r="O10" s="59">
        <f t="shared" ref="O10" si="50">N10/$B$18</f>
        <v>1.6666666666666666E-2</v>
      </c>
      <c r="P10" s="58">
        <f>'Gusht 2020'!$I$17</f>
        <v>50</v>
      </c>
      <c r="Q10" s="59">
        <f t="shared" ref="Q10" si="51">P10/$B$18</f>
        <v>1.6666666666666666E-2</v>
      </c>
      <c r="R10" s="58">
        <f>'Shtator 2020'!$I$17</f>
        <v>50</v>
      </c>
      <c r="S10" s="59">
        <f t="shared" ref="S10" si="52">R10/$B$18</f>
        <v>1.6666666666666666E-2</v>
      </c>
      <c r="T10" s="58">
        <f>'Tetor 2020'!$I$17</f>
        <v>50</v>
      </c>
      <c r="U10" s="59">
        <f t="shared" ref="U10" si="53">T10/$B$18</f>
        <v>1.6666666666666666E-2</v>
      </c>
      <c r="V10" s="58">
        <f>'Nentor 2020'!$I$17</f>
        <v>50</v>
      </c>
      <c r="W10" s="59">
        <f t="shared" ref="W10:Y10" si="54">V10/$B$18</f>
        <v>1.6666666666666666E-2</v>
      </c>
      <c r="X10" s="58">
        <f>'Dhjetor 2020'!$I$17</f>
        <v>50</v>
      </c>
      <c r="Y10" s="59">
        <f t="shared" si="54"/>
        <v>1.6666666666666666E-2</v>
      </c>
    </row>
    <row r="11" spans="1:25" x14ac:dyDescent="0.25">
      <c r="A11" s="57" t="str">
        <f>'Janar 2020'!$G$19</f>
        <v>Kredia</v>
      </c>
      <c r="B11" s="58">
        <f>'Janar 2020'!$I$26</f>
        <v>0</v>
      </c>
      <c r="C11" s="59">
        <f t="shared" si="0"/>
        <v>0</v>
      </c>
      <c r="D11" s="58">
        <f>'Shkurt 2020'!$I$26</f>
        <v>0</v>
      </c>
      <c r="E11" s="59">
        <f t="shared" si="0"/>
        <v>0</v>
      </c>
      <c r="F11" s="58">
        <f>'Mars 2020'!$I$26</f>
        <v>0</v>
      </c>
      <c r="G11" s="59">
        <f t="shared" ref="G11" si="55">F11/$B$18</f>
        <v>0</v>
      </c>
      <c r="H11" s="58">
        <f>'Prill 2020'!$I$26</f>
        <v>0</v>
      </c>
      <c r="I11" s="59">
        <f t="shared" ref="I11" si="56">H11/$B$18</f>
        <v>0</v>
      </c>
      <c r="J11" s="58">
        <f>'Maj 2020'!$I$26</f>
        <v>0</v>
      </c>
      <c r="K11" s="59">
        <f t="shared" ref="K11" si="57">J11/$B$18</f>
        <v>0</v>
      </c>
      <c r="L11" s="58">
        <f>'Qershor 2020'!$I$26</f>
        <v>0</v>
      </c>
      <c r="M11" s="59">
        <f t="shared" ref="M11" si="58">L11/$B$18</f>
        <v>0</v>
      </c>
      <c r="N11" s="58">
        <f>'Korrik 2020'!$I$26</f>
        <v>0</v>
      </c>
      <c r="O11" s="59">
        <f t="shared" ref="O11" si="59">N11/$B$18</f>
        <v>0</v>
      </c>
      <c r="P11" s="58">
        <f>'Gusht 2020'!$I$26</f>
        <v>0</v>
      </c>
      <c r="Q11" s="59">
        <f t="shared" ref="Q11" si="60">P11/$B$18</f>
        <v>0</v>
      </c>
      <c r="R11" s="58">
        <f>'Shtator 2020'!$I$26</f>
        <v>0</v>
      </c>
      <c r="S11" s="59">
        <f t="shared" ref="S11" si="61">R11/$B$18</f>
        <v>0</v>
      </c>
      <c r="T11" s="58">
        <f>'Tetor 2020'!$I$26</f>
        <v>0</v>
      </c>
      <c r="U11" s="59">
        <f t="shared" ref="U11" si="62">T11/$B$18</f>
        <v>0</v>
      </c>
      <c r="V11" s="58">
        <f>'Nentor 2020'!$I$26</f>
        <v>0</v>
      </c>
      <c r="W11" s="59">
        <f t="shared" ref="W11:Y11" si="63">V11/$B$18</f>
        <v>0</v>
      </c>
      <c r="X11" s="58">
        <f>'Dhjetor 2020'!$I$26</f>
        <v>0</v>
      </c>
      <c r="Y11" s="59">
        <f t="shared" si="63"/>
        <v>0</v>
      </c>
    </row>
    <row r="12" spans="1:25" x14ac:dyDescent="0.25">
      <c r="A12" s="57" t="str">
        <f>'Janar 2020'!$G$28</f>
        <v>Taksa</v>
      </c>
      <c r="B12" s="58">
        <f>'Janar 2020'!$I$33</f>
        <v>0</v>
      </c>
      <c r="C12" s="59">
        <f t="shared" si="0"/>
        <v>0</v>
      </c>
      <c r="D12" s="58">
        <f>'Shkurt 2020'!$I$33</f>
        <v>0</v>
      </c>
      <c r="E12" s="59">
        <f t="shared" si="0"/>
        <v>0</v>
      </c>
      <c r="F12" s="58">
        <f>'Mars 2020'!$I$33</f>
        <v>0</v>
      </c>
      <c r="G12" s="59">
        <f t="shared" ref="G12" si="64">F12/$B$18</f>
        <v>0</v>
      </c>
      <c r="H12" s="58">
        <f>'Prill 2020'!$I$33</f>
        <v>0</v>
      </c>
      <c r="I12" s="59">
        <f t="shared" ref="I12" si="65">H12/$B$18</f>
        <v>0</v>
      </c>
      <c r="J12" s="58">
        <f>'Maj 2020'!$I$33</f>
        <v>0</v>
      </c>
      <c r="K12" s="59">
        <f t="shared" ref="K12" si="66">J12/$B$18</f>
        <v>0</v>
      </c>
      <c r="L12" s="58">
        <f>'Qershor 2020'!$I$33</f>
        <v>0</v>
      </c>
      <c r="M12" s="59">
        <f t="shared" ref="M12" si="67">L12/$B$18</f>
        <v>0</v>
      </c>
      <c r="N12" s="58">
        <f>'Korrik 2020'!$I$33</f>
        <v>0</v>
      </c>
      <c r="O12" s="59">
        <f t="shared" ref="O12" si="68">N12/$B$18</f>
        <v>0</v>
      </c>
      <c r="P12" s="58">
        <f>'Gusht 2020'!$I$33</f>
        <v>0</v>
      </c>
      <c r="Q12" s="59">
        <f t="shared" ref="Q12" si="69">P12/$B$18</f>
        <v>0</v>
      </c>
      <c r="R12" s="58">
        <f>'Shtator 2020'!$I$33</f>
        <v>0</v>
      </c>
      <c r="S12" s="59">
        <f t="shared" ref="S12" si="70">R12/$B$18</f>
        <v>0</v>
      </c>
      <c r="T12" s="58">
        <f>'Tetor 2020'!$I$33</f>
        <v>0</v>
      </c>
      <c r="U12" s="59">
        <f t="shared" ref="U12" si="71">T12/$B$18</f>
        <v>0</v>
      </c>
      <c r="V12" s="58">
        <f>'Nentor 2020'!$I$33</f>
        <v>0</v>
      </c>
      <c r="W12" s="59">
        <f t="shared" ref="W12:Y12" si="72">V12/$B$18</f>
        <v>0</v>
      </c>
      <c r="X12" s="58">
        <f>'Dhjetor 2020'!$I$33</f>
        <v>0</v>
      </c>
      <c r="Y12" s="59">
        <f t="shared" si="72"/>
        <v>0</v>
      </c>
    </row>
    <row r="13" spans="1:25" x14ac:dyDescent="0.25">
      <c r="A13" s="57" t="str">
        <f>'Janar 2020'!$G$35</f>
        <v>Llogari kursimi</v>
      </c>
      <c r="B13" s="58">
        <f>'Janar 2020'!$I$39</f>
        <v>0</v>
      </c>
      <c r="C13" s="59">
        <f t="shared" si="0"/>
        <v>0</v>
      </c>
      <c r="D13" s="58">
        <f>'Shkurt 2020'!$I$39</f>
        <v>0</v>
      </c>
      <c r="E13" s="59">
        <f t="shared" si="0"/>
        <v>0</v>
      </c>
      <c r="F13" s="58">
        <f>'Mars 2020'!$I$39</f>
        <v>0</v>
      </c>
      <c r="G13" s="59">
        <f t="shared" ref="G13" si="73">F13/$B$18</f>
        <v>0</v>
      </c>
      <c r="H13" s="58">
        <f>'Prill 2020'!$I$39</f>
        <v>0</v>
      </c>
      <c r="I13" s="59">
        <f t="shared" ref="I13" si="74">H13/$B$18</f>
        <v>0</v>
      </c>
      <c r="J13" s="58">
        <f>'Maj 2020'!$I$39</f>
        <v>0</v>
      </c>
      <c r="K13" s="59">
        <f t="shared" ref="K13" si="75">J13/$B$18</f>
        <v>0</v>
      </c>
      <c r="L13" s="58">
        <f>'Qershor 2020'!$I$39</f>
        <v>0</v>
      </c>
      <c r="M13" s="59">
        <f t="shared" ref="M13" si="76">L13/$B$18</f>
        <v>0</v>
      </c>
      <c r="N13" s="58">
        <f>'Korrik 2020'!$I$39</f>
        <v>0</v>
      </c>
      <c r="O13" s="59">
        <f t="shared" ref="O13" si="77">N13/$B$18</f>
        <v>0</v>
      </c>
      <c r="P13" s="58">
        <f>'Gusht 2020'!$I$39</f>
        <v>0</v>
      </c>
      <c r="Q13" s="59">
        <f t="shared" ref="Q13" si="78">P13/$B$18</f>
        <v>0</v>
      </c>
      <c r="R13" s="58">
        <f>'Shtator 2020'!$I$39</f>
        <v>0</v>
      </c>
      <c r="S13" s="59">
        <f t="shared" ref="S13" si="79">R13/$B$18</f>
        <v>0</v>
      </c>
      <c r="T13" s="58">
        <f>'Tetor 2020'!$I$39</f>
        <v>0</v>
      </c>
      <c r="U13" s="59">
        <f t="shared" ref="U13" si="80">T13/$B$18</f>
        <v>0</v>
      </c>
      <c r="V13" s="58">
        <f>'Nentor 2020'!$I$39</f>
        <v>0</v>
      </c>
      <c r="W13" s="59">
        <f t="shared" ref="W13:Y13" si="81">V13/$B$18</f>
        <v>0</v>
      </c>
      <c r="X13" s="58">
        <f>'Dhjetor 2020'!$I$39</f>
        <v>0</v>
      </c>
      <c r="Y13" s="59">
        <f t="shared" si="81"/>
        <v>0</v>
      </c>
    </row>
    <row r="14" spans="1:25" x14ac:dyDescent="0.25">
      <c r="A14" s="57" t="str">
        <f>'Janar 2020'!$G$41</f>
        <v>Donacione</v>
      </c>
      <c r="B14" s="58">
        <f>'Janar 2020'!$I$45</f>
        <v>0</v>
      </c>
      <c r="C14" s="59">
        <f t="shared" si="0"/>
        <v>0</v>
      </c>
      <c r="D14" s="58">
        <f>'Shkurt 2020'!$I$45</f>
        <v>0</v>
      </c>
      <c r="E14" s="59">
        <f t="shared" si="0"/>
        <v>0</v>
      </c>
      <c r="F14" s="58">
        <f>'Mars 2020'!$I$45</f>
        <v>0</v>
      </c>
      <c r="G14" s="59">
        <f t="shared" ref="G14" si="82">F14/$B$18</f>
        <v>0</v>
      </c>
      <c r="H14" s="58">
        <f>'Prill 2020'!$I$45</f>
        <v>0</v>
      </c>
      <c r="I14" s="59">
        <f t="shared" ref="I14" si="83">H14/$B$18</f>
        <v>0</v>
      </c>
      <c r="J14" s="58">
        <f>'Maj 2020'!$I$45</f>
        <v>0</v>
      </c>
      <c r="K14" s="59">
        <f t="shared" ref="K14" si="84">J14/$B$18</f>
        <v>0</v>
      </c>
      <c r="L14" s="58">
        <f>'Qershor 2020'!$I$45</f>
        <v>0</v>
      </c>
      <c r="M14" s="59">
        <f t="shared" ref="M14" si="85">L14/$B$18</f>
        <v>0</v>
      </c>
      <c r="N14" s="58">
        <f>'Korrik 2020'!$I$45</f>
        <v>0</v>
      </c>
      <c r="O14" s="59">
        <f t="shared" ref="O14" si="86">N14/$B$18</f>
        <v>0</v>
      </c>
      <c r="P14" s="58">
        <f>'Gusht 2020'!$I$45</f>
        <v>0</v>
      </c>
      <c r="Q14" s="59">
        <f t="shared" ref="Q14" si="87">P14/$B$18</f>
        <v>0</v>
      </c>
      <c r="R14" s="58">
        <f>'Shtator 2020'!$I$45</f>
        <v>0</v>
      </c>
      <c r="S14" s="59">
        <f t="shared" ref="S14" si="88">R14/$B$18</f>
        <v>0</v>
      </c>
      <c r="T14" s="58">
        <f>'Tetor 2020'!$I$45</f>
        <v>0</v>
      </c>
      <c r="U14" s="59">
        <f t="shared" ref="U14" si="89">T14/$B$18</f>
        <v>0</v>
      </c>
      <c r="V14" s="58">
        <f>'Nentor 2020'!$I$45</f>
        <v>0</v>
      </c>
      <c r="W14" s="59">
        <f t="shared" ref="W14:Y14" si="90">V14/$B$18</f>
        <v>0</v>
      </c>
      <c r="X14" s="58">
        <f>'Dhjetor 2020'!$I$45</f>
        <v>0</v>
      </c>
      <c r="Y14" s="59">
        <f t="shared" si="90"/>
        <v>0</v>
      </c>
    </row>
    <row r="15" spans="1:25" x14ac:dyDescent="0.25">
      <c r="A15" s="57" t="str">
        <f>'Janar 2020'!$G$47</f>
        <v>Te tjera sipas nevojave</v>
      </c>
      <c r="B15" s="58">
        <f>'Janar 2020'!$I$52</f>
        <v>0</v>
      </c>
      <c r="C15" s="59">
        <f t="shared" si="0"/>
        <v>0</v>
      </c>
      <c r="D15" s="58">
        <f>'Shkurt 2020'!$I$52</f>
        <v>0</v>
      </c>
      <c r="E15" s="59">
        <f t="shared" si="0"/>
        <v>0</v>
      </c>
      <c r="F15" s="58">
        <f>'Mars 2020'!$I$52</f>
        <v>0</v>
      </c>
      <c r="G15" s="59">
        <f t="shared" ref="G15" si="91">F15/$B$18</f>
        <v>0</v>
      </c>
      <c r="H15" s="58">
        <f>'Prill 2020'!$I$52</f>
        <v>0</v>
      </c>
      <c r="I15" s="59">
        <f t="shared" ref="I15" si="92">H15/$B$18</f>
        <v>0</v>
      </c>
      <c r="J15" s="58">
        <f>'Maj 2020'!$I$52</f>
        <v>0</v>
      </c>
      <c r="K15" s="59">
        <f t="shared" ref="K15" si="93">J15/$B$18</f>
        <v>0</v>
      </c>
      <c r="L15" s="58">
        <f>'Qershor 2020'!$I$52</f>
        <v>0</v>
      </c>
      <c r="M15" s="59">
        <f t="shared" ref="M15" si="94">L15/$B$18</f>
        <v>0</v>
      </c>
      <c r="N15" s="58">
        <f>'Korrik 2020'!$I$52</f>
        <v>0</v>
      </c>
      <c r="O15" s="59">
        <f t="shared" ref="O15" si="95">N15/$B$18</f>
        <v>0</v>
      </c>
      <c r="P15" s="58">
        <f>'Gusht 2020'!$I$52</f>
        <v>0</v>
      </c>
      <c r="Q15" s="59">
        <f t="shared" ref="Q15" si="96">P15/$B$18</f>
        <v>0</v>
      </c>
      <c r="R15" s="58">
        <f>'Shtator 2020'!$I$52</f>
        <v>0</v>
      </c>
      <c r="S15" s="59">
        <f t="shared" ref="S15" si="97">R15/$B$18</f>
        <v>0</v>
      </c>
      <c r="T15" s="58">
        <f>'Tetor 2020'!$I$52</f>
        <v>0</v>
      </c>
      <c r="U15" s="59">
        <f t="shared" ref="U15" si="98">T15/$B$18</f>
        <v>0</v>
      </c>
      <c r="V15" s="58">
        <f>'Nentor 2020'!$I$52</f>
        <v>0</v>
      </c>
      <c r="W15" s="59">
        <f t="shared" ref="W15:Y15" si="99">V15/$B$18</f>
        <v>0</v>
      </c>
      <c r="X15" s="58">
        <f>'Dhjetor 2020'!$I$52</f>
        <v>0</v>
      </c>
      <c r="Y15" s="59">
        <f t="shared" si="99"/>
        <v>0</v>
      </c>
    </row>
    <row r="16" spans="1:25" x14ac:dyDescent="0.25">
      <c r="A16" s="60" t="s">
        <v>80</v>
      </c>
      <c r="B16" s="61">
        <f>'Janar 2020'!J6</f>
        <v>960</v>
      </c>
      <c r="C16" s="62">
        <f t="shared" si="0"/>
        <v>0.32</v>
      </c>
      <c r="D16" s="61">
        <f>'Shkurt 2020'!L6</f>
        <v>0</v>
      </c>
      <c r="E16" s="62">
        <f t="shared" si="0"/>
        <v>0</v>
      </c>
      <c r="F16" s="61">
        <f>'Mars 2020'!M6</f>
        <v>0</v>
      </c>
      <c r="G16" s="62">
        <f t="shared" ref="G16" si="100">F16/$B$18</f>
        <v>0</v>
      </c>
      <c r="H16" s="61">
        <f>'Prill 2020'!N6</f>
        <v>0</v>
      </c>
      <c r="I16" s="62">
        <f t="shared" ref="I16" si="101">H16/$B$18</f>
        <v>0</v>
      </c>
      <c r="J16" s="61">
        <f>'Maj 2020'!O6</f>
        <v>0</v>
      </c>
      <c r="K16" s="62">
        <f t="shared" ref="K16" si="102">J16/$B$18</f>
        <v>0</v>
      </c>
      <c r="L16" s="61">
        <f>'Qershor 2020'!P6</f>
        <v>0</v>
      </c>
      <c r="M16" s="62">
        <f t="shared" ref="M16" si="103">L16/$B$18</f>
        <v>0</v>
      </c>
      <c r="N16" s="61">
        <f>'Korrik 2020'!Q6</f>
        <v>0</v>
      </c>
      <c r="O16" s="62">
        <f t="shared" ref="O16" si="104">N16/$B$18</f>
        <v>0</v>
      </c>
      <c r="P16" s="61">
        <f>'Gusht 2020'!R6</f>
        <v>0</v>
      </c>
      <c r="Q16" s="62">
        <f t="shared" ref="Q16" si="105">P16/$B$18</f>
        <v>0</v>
      </c>
      <c r="R16" s="61">
        <f>'Shtator 2020'!S6</f>
        <v>0</v>
      </c>
      <c r="S16" s="62">
        <f t="shared" ref="S16" si="106">R16/$B$18</f>
        <v>0</v>
      </c>
      <c r="T16" s="61">
        <f>'Tetor 2020'!T6</f>
        <v>0</v>
      </c>
      <c r="U16" s="62">
        <f t="shared" ref="U16" si="107">T16/$B$18</f>
        <v>0</v>
      </c>
      <c r="V16" s="61">
        <f>'Nentor 2020'!U6</f>
        <v>0</v>
      </c>
      <c r="W16" s="62">
        <f t="shared" ref="W16:Y16" si="108">V16/$B$18</f>
        <v>0</v>
      </c>
      <c r="X16" s="61">
        <f>'Dhjetor 2020'!V6</f>
        <v>0</v>
      </c>
      <c r="Y16" s="62">
        <f t="shared" si="108"/>
        <v>0</v>
      </c>
    </row>
    <row r="17" spans="1:25" x14ac:dyDescent="0.25">
      <c r="A17" s="60" t="s">
        <v>81</v>
      </c>
      <c r="B17" s="61">
        <f>SUM(B4:B15)</f>
        <v>2040</v>
      </c>
      <c r="C17" s="62">
        <f t="shared" si="0"/>
        <v>0.68</v>
      </c>
      <c r="D17" s="61">
        <f t="shared" ref="D17:X17" si="109">SUM(D4:D15)</f>
        <v>2040</v>
      </c>
      <c r="E17" s="62">
        <f t="shared" si="0"/>
        <v>0.68</v>
      </c>
      <c r="F17" s="61">
        <f t="shared" si="109"/>
        <v>2040</v>
      </c>
      <c r="G17" s="62">
        <f t="shared" ref="G17" si="110">F17/$B$18</f>
        <v>0.68</v>
      </c>
      <c r="H17" s="61">
        <f t="shared" si="109"/>
        <v>2040</v>
      </c>
      <c r="I17" s="62">
        <f t="shared" ref="I17" si="111">H17/$B$18</f>
        <v>0.68</v>
      </c>
      <c r="J17" s="61">
        <f t="shared" si="109"/>
        <v>2040</v>
      </c>
      <c r="K17" s="62">
        <f t="shared" ref="K17" si="112">J17/$B$18</f>
        <v>0.68</v>
      </c>
      <c r="L17" s="61">
        <f t="shared" si="109"/>
        <v>2040</v>
      </c>
      <c r="M17" s="62">
        <f t="shared" ref="M17" si="113">L17/$B$18</f>
        <v>0.68</v>
      </c>
      <c r="N17" s="61">
        <f t="shared" si="109"/>
        <v>2040</v>
      </c>
      <c r="O17" s="62">
        <f t="shared" ref="O17" si="114">N17/$B$18</f>
        <v>0.68</v>
      </c>
      <c r="P17" s="61">
        <f t="shared" si="109"/>
        <v>2040</v>
      </c>
      <c r="Q17" s="62">
        <f t="shared" ref="Q17" si="115">P17/$B$18</f>
        <v>0.68</v>
      </c>
      <c r="R17" s="61">
        <f t="shared" si="109"/>
        <v>2040</v>
      </c>
      <c r="S17" s="62">
        <f t="shared" ref="S17" si="116">R17/$B$18</f>
        <v>0.68</v>
      </c>
      <c r="T17" s="61">
        <f t="shared" si="109"/>
        <v>2040</v>
      </c>
      <c r="U17" s="62">
        <f t="shared" ref="U17" si="117">T17/$B$18</f>
        <v>0.68</v>
      </c>
      <c r="V17" s="61">
        <f t="shared" si="109"/>
        <v>2040</v>
      </c>
      <c r="W17" s="62">
        <f t="shared" ref="W17:Y17" si="118">V17/$B$18</f>
        <v>0.68</v>
      </c>
      <c r="X17" s="61">
        <f t="shared" si="109"/>
        <v>2040</v>
      </c>
      <c r="Y17" s="62">
        <f t="shared" si="118"/>
        <v>0.68</v>
      </c>
    </row>
    <row r="18" spans="1:25" x14ac:dyDescent="0.25">
      <c r="A18" s="63" t="s">
        <v>9</v>
      </c>
      <c r="B18" s="64">
        <f>'Janar 2020'!E9</f>
        <v>3000</v>
      </c>
      <c r="C18" s="65">
        <f>C16+C17</f>
        <v>1</v>
      </c>
      <c r="D18" s="64">
        <f>'Shkurt 2020'!G9</f>
        <v>0</v>
      </c>
      <c r="E18" s="65">
        <f>E16+E17</f>
        <v>0.68</v>
      </c>
      <c r="F18" s="64">
        <f>'Mars 2020'!H9</f>
        <v>0</v>
      </c>
      <c r="G18" s="65">
        <f>G16+G17</f>
        <v>0.68</v>
      </c>
      <c r="H18" s="64">
        <f>'Prill 2020'!I9</f>
        <v>0</v>
      </c>
      <c r="I18" s="65">
        <f>I16+I17</f>
        <v>0.68</v>
      </c>
      <c r="J18" s="64">
        <f>'Maj 2020'!J9</f>
        <v>0</v>
      </c>
      <c r="K18" s="65">
        <f>K16+K17</f>
        <v>0.68</v>
      </c>
      <c r="L18" s="64">
        <f>'Qershor 2020'!K9</f>
        <v>0</v>
      </c>
      <c r="M18" s="65">
        <f>M16+M17</f>
        <v>0.68</v>
      </c>
      <c r="N18" s="64">
        <f>'Korrik 2020'!L9</f>
        <v>0</v>
      </c>
      <c r="O18" s="65">
        <f>O16+O17</f>
        <v>0.68</v>
      </c>
      <c r="P18" s="64">
        <f>'Gusht 2020'!M9</f>
        <v>0</v>
      </c>
      <c r="Q18" s="65">
        <f>Q16+Q17</f>
        <v>0.68</v>
      </c>
      <c r="R18" s="64">
        <f>'Shtator 2020'!N9</f>
        <v>0</v>
      </c>
      <c r="S18" s="65">
        <f>S16+S17</f>
        <v>0.68</v>
      </c>
      <c r="T18" s="64">
        <f>'Tetor 2020'!O9</f>
        <v>0</v>
      </c>
      <c r="U18" s="65">
        <f>U16+U17</f>
        <v>0.68</v>
      </c>
      <c r="V18" s="64">
        <f>'Nentor 2020'!P9</f>
        <v>0</v>
      </c>
      <c r="W18" s="65">
        <f>W16+W17</f>
        <v>0.68</v>
      </c>
      <c r="X18" s="64">
        <f>'Dhjetor 2020'!Q9</f>
        <v>0</v>
      </c>
      <c r="Y18" s="65">
        <f>Y16+Y17</f>
        <v>0.68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zoomScale="98" zoomScaleNormal="98" workbookViewId="0">
      <selection activeCell="G18" sqref="G18:J18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30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30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21"/>
      <c r="C10" s="21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Table11426385062748698[Kosto e parashikuar]-Table11426385062748698[Kosto faktike]</f>
        <v>100</v>
      </c>
      <c r="F12" s="9"/>
      <c r="G12" s="5" t="s">
        <v>26</v>
      </c>
      <c r="H12" s="25">
        <v>0</v>
      </c>
      <c r="I12" s="25">
        <v>50</v>
      </c>
      <c r="J12" s="26">
        <f>Table225374961738597109[Kosto e parashikuar]-Table225374961738597109[Kosto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Table11426385062748698[Kosto e parashikuar]-Table11426385062748698[Kosto faktike]</f>
        <v>-40</v>
      </c>
      <c r="F13" s="9"/>
      <c r="G13" s="5" t="s">
        <v>27</v>
      </c>
      <c r="H13" s="25"/>
      <c r="I13" s="25"/>
      <c r="J13" s="26">
        <f>Table225374961738597109[Kosto e parashikuar]-Table225374961738597109[Kosto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Table11426385062748698[Kosto e parashikuar]-Table11426385062748698[Kosto faktike]</f>
        <v>-10</v>
      </c>
      <c r="F14" s="9"/>
      <c r="G14" s="5" t="s">
        <v>28</v>
      </c>
      <c r="H14" s="25"/>
      <c r="I14" s="25"/>
      <c r="J14" s="26">
        <f>Table225374961738597109[Kosto e parashikuar]-Table225374961738597109[Kosto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Table11426385062748698[Kosto e parashikuar]-Table11426385062748698[Kosto faktike]</f>
        <v>20</v>
      </c>
      <c r="F15" s="9"/>
      <c r="G15" s="5" t="s">
        <v>29</v>
      </c>
      <c r="H15" s="25"/>
      <c r="I15" s="25"/>
      <c r="J15" s="26">
        <f>Table225374961738597109[Kosto e parashikuar]-Table225374961738597109[Kosto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Table11426385062748698[Kosto e parashikuar]-Table11426385062748698[Kosto faktike]</f>
        <v>0</v>
      </c>
      <c r="F16" s="9"/>
      <c r="G16" s="5" t="s">
        <v>25</v>
      </c>
      <c r="H16" s="25"/>
      <c r="I16" s="25"/>
      <c r="J16" s="26">
        <f>Table225374961738597109[Kosto e parashikuar]-Table225374961738597109[Kosto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Table11426385062748698[Kosto e parashikuar]-Table11426385062748698[Kosto faktike]</f>
        <v>0</v>
      </c>
      <c r="F17" s="9"/>
      <c r="G17" s="24" t="s">
        <v>0</v>
      </c>
      <c r="H17" s="31">
        <f>SUBTOTAL(109,Table225374961738597109[Kosto e parashikuar])</f>
        <v>0</v>
      </c>
      <c r="I17" s="32">
        <f>SUBTOTAL(109,Table225374961738597109[Kosto faktike])</f>
        <v>50</v>
      </c>
      <c r="J17" s="33">
        <f>SUBTOTAL(109,Table225374961738597109[Diferenca])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Table11426385062748698[Kosto e parashikuar]-Table11426385062748698[Kosto faktike]</f>
        <v>0</v>
      </c>
      <c r="F18" s="9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Table11426385062748698[Kosto e parashikuar]-Table11426385062748698[Kosto faktike]</f>
        <v>0</v>
      </c>
      <c r="F19" s="9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Table11426385062748698[Kosto e parashikuar]-Table11426385062748698[Kosto faktike]</f>
        <v>0</v>
      </c>
      <c r="F20" s="9"/>
      <c r="G20" s="5" t="s">
        <v>31</v>
      </c>
      <c r="H20" s="25"/>
      <c r="I20" s="25"/>
      <c r="J20" s="26">
        <f>Table822344658708294106[Kosto e parashikuar]-Table822344658708294106[Kosto faktike]</f>
        <v>0</v>
      </c>
    </row>
    <row r="21" spans="1:10" ht="15.75" customHeight="1" x14ac:dyDescent="0.2">
      <c r="A21" s="4"/>
      <c r="B21" s="3" t="s">
        <v>0</v>
      </c>
      <c r="C21" s="25">
        <f>SUBTOTAL(109,Table11426385062748698[Kosto e parashikuar])</f>
        <v>1810</v>
      </c>
      <c r="D21" s="25">
        <f>SUBTOTAL(109,Table11426385062748698[Kosto faktike])</f>
        <v>1740</v>
      </c>
      <c r="E21" s="27">
        <f>SUBTOTAL(109,Table11426385062748698[Diferenca])</f>
        <v>70</v>
      </c>
      <c r="F21" s="9"/>
      <c r="G21" s="5" t="s">
        <v>32</v>
      </c>
      <c r="H21" s="25"/>
      <c r="I21" s="25"/>
      <c r="J21" s="26">
        <f>Table822344658708294106[Kosto e parashikuar]-Table822344658708294106[Kosto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9"/>
      <c r="G22" s="5" t="s">
        <v>33</v>
      </c>
      <c r="H22" s="25"/>
      <c r="I22" s="25"/>
      <c r="J22" s="26">
        <f>Table822344658708294106[Kosto e parashikuar]-Table822344658708294106[Kosto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9"/>
      <c r="G23" s="5" t="s">
        <v>33</v>
      </c>
      <c r="H23" s="25"/>
      <c r="I23" s="25"/>
      <c r="J23" s="26">
        <f>Table822344658708294106[Kosto e parashikuar]-Table822344658708294106[Kosto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Table321334557698193105[Kosto e parashikuar]-Table321334557698193105[Kosto faktike]</f>
        <v>0</v>
      </c>
      <c r="F24" s="9"/>
      <c r="G24" s="5" t="s">
        <v>33</v>
      </c>
      <c r="H24" s="25"/>
      <c r="I24" s="25"/>
      <c r="J24" s="26">
        <f>Table822344658708294106[Kosto e parashikuar]-Table822344658708294106[Kosto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Table321334557698193105[Kosto e parashikuar]-Table321334557698193105[Kosto faktike]</f>
        <v>0</v>
      </c>
      <c r="F25" s="9"/>
      <c r="G25" s="5" t="s">
        <v>25</v>
      </c>
      <c r="H25" s="25"/>
      <c r="I25" s="25"/>
      <c r="J25" s="26">
        <f>Table822344658708294106[Kosto e parashikuar]-Table822344658708294106[Kosto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Table321334557698193105[Kosto e parashikuar]-Table321334557698193105[Kosto faktike]</f>
        <v>0</v>
      </c>
      <c r="F26" s="9"/>
      <c r="G26" s="24" t="s">
        <v>0</v>
      </c>
      <c r="H26" s="32">
        <f>SUBTOTAL(109,Table822344658708294106[Kosto e parashikuar])</f>
        <v>0</v>
      </c>
      <c r="I26" s="32">
        <f>SUBTOTAL(109,Table822344658708294106[Kosto faktike])</f>
        <v>0</v>
      </c>
      <c r="J26" s="33">
        <f>SUBTOTAL(109,Table822344658708294106[Diferenca])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Table321334557698193105[Kosto e parashikuar]-Table321334557698193105[Kosto faktike]</f>
        <v>0</v>
      </c>
      <c r="F27" s="9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Table321334557698193105[Kosto e parashikuar]-Table321334557698193105[Kosto faktike]</f>
        <v>0</v>
      </c>
      <c r="F28" s="9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Table321334557698193105[Kosto e parashikuar]-Table321334557698193105[Kosto faktike]</f>
        <v>0</v>
      </c>
      <c r="F29" s="9"/>
      <c r="G29" s="5" t="s">
        <v>4</v>
      </c>
      <c r="H29" s="25"/>
      <c r="I29" s="25"/>
      <c r="J29" s="26">
        <f>Table920324456688092104[Kosto e parashikuar]-Table920324456688092104[Kosto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Table321334557698193105[Kosto e parashikuar]-Table321334557698193105[Kosto faktike]</f>
        <v>0</v>
      </c>
      <c r="F30" s="9"/>
      <c r="G30" s="5" t="s">
        <v>3</v>
      </c>
      <c r="H30" s="25"/>
      <c r="I30" s="25"/>
      <c r="J30" s="26">
        <f>Table920324456688092104[Kosto e parashikuar]-Table920324456688092104[Kosto faktike]</f>
        <v>0</v>
      </c>
    </row>
    <row r="31" spans="1:10" ht="15.75" customHeight="1" x14ac:dyDescent="0.2">
      <c r="A31" s="4"/>
      <c r="B31" s="24" t="s">
        <v>0</v>
      </c>
      <c r="C31" s="32">
        <f>SUBTOTAL(109,Table321334557698193105[Kosto e parashikuar])</f>
        <v>250</v>
      </c>
      <c r="D31" s="32">
        <f>SUBTOTAL(109,Table321334557698193105[Kosto faktike])</f>
        <v>250</v>
      </c>
      <c r="E31" s="33">
        <f>SUBTOTAL(109,Table321334557698193105[Diferenca])</f>
        <v>0</v>
      </c>
      <c r="F31" s="9"/>
      <c r="G31" s="5" t="s">
        <v>2</v>
      </c>
      <c r="H31" s="25"/>
      <c r="I31" s="25"/>
      <c r="J31" s="26">
        <f>Table920324456688092104[Kosto e parashikuar]-Table920324456688092104[Kosto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9"/>
      <c r="G32" s="5" t="s">
        <v>1</v>
      </c>
      <c r="H32" s="25"/>
      <c r="I32" s="25"/>
      <c r="J32" s="26">
        <f>Table920324456688092104[Kosto e parashikuar]-Table920324456688092104[Kosto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9"/>
      <c r="G33" s="24" t="s">
        <v>0</v>
      </c>
      <c r="H33" s="32">
        <f>SUBTOTAL(109,Table920324456688092104[Kosto e parashikuar])</f>
        <v>0</v>
      </c>
      <c r="I33" s="32">
        <f>SUBTOTAL(109,Table920324456688092104[Kosto faktike])</f>
        <v>0</v>
      </c>
      <c r="J33" s="33">
        <f>SUBTOTAL(109,Table920324456688092104[Diferenca])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Table41527395163758799[Kosto e parashikuar]-Table41527395163758799[Kosto faktike]</f>
        <v>0</v>
      </c>
      <c r="F34" s="9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Table41527395163758799[Kosto e parashikuar]-Table41527395163758799[Kosto faktike]</f>
        <v>0</v>
      </c>
      <c r="F35" s="9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Table41527395163758799[Kosto e parashikuar]-Table41527395163758799[Kosto faktike]</f>
        <v>0</v>
      </c>
      <c r="F36" s="9"/>
      <c r="G36" s="5" t="s">
        <v>43</v>
      </c>
      <c r="H36" s="25"/>
      <c r="I36" s="25"/>
      <c r="J36" s="26">
        <f>Table1023354759718395107[Kosto e parashikuar]-Table1023354759718395107[Kosto faktike]</f>
        <v>0</v>
      </c>
    </row>
    <row r="37" spans="1:10" ht="15.75" customHeight="1" x14ac:dyDescent="0.2">
      <c r="A37" s="4"/>
      <c r="B37" s="24" t="s">
        <v>0</v>
      </c>
      <c r="C37" s="32">
        <f>SUBTOTAL(109,Table41527395163758799[Kosto e parashikuar])</f>
        <v>0</v>
      </c>
      <c r="D37" s="32">
        <f>SUBTOTAL(109,Table41527395163758799[Kosto faktike])</f>
        <v>0</v>
      </c>
      <c r="E37" s="33">
        <f>SUBTOTAL(109,Table41527395163758799[Diferenca])</f>
        <v>0</v>
      </c>
      <c r="F37" s="9"/>
      <c r="G37" s="5" t="s">
        <v>42</v>
      </c>
      <c r="H37" s="25"/>
      <c r="I37" s="25"/>
      <c r="J37" s="26">
        <f>Table1023354759718395107[Kosto e parashikuar]-Table1023354759718395107[Kosto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9"/>
      <c r="G38" s="5" t="s">
        <v>25</v>
      </c>
      <c r="H38" s="25"/>
      <c r="I38" s="25"/>
      <c r="J38" s="26">
        <f>Table1023354759718395107[Kosto e parashikuar]-Table1023354759718395107[Kosto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9"/>
      <c r="G39" s="24" t="s">
        <v>0</v>
      </c>
      <c r="H39" s="32">
        <f>SUBTOTAL(109,Table1023354759718395107[Kosto e parashikuar])</f>
        <v>0</v>
      </c>
      <c r="I39" s="32">
        <f>SUBTOTAL(109,Table1023354759718395107[Kosto faktike])</f>
        <v>0</v>
      </c>
      <c r="J39" s="33">
        <f>SUBTOTAL(109,Table1023354759718395107[Diferenca])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Table519314355677991103[Kosto e parashikuar]-Table519314355677991103[Kosto faktike]</f>
        <v>0</v>
      </c>
      <c r="F40" s="9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Table519314355677991103[Kosto e parashikuar]-Table519314355677991103[Kosto faktike]</f>
        <v>0</v>
      </c>
      <c r="F41" s="9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Table519314355677991103[Kosto e parashikuar]-Table519314355677991103[Kosto faktike]</f>
        <v>0</v>
      </c>
      <c r="F42" s="9"/>
      <c r="G42" s="5"/>
      <c r="H42" s="25"/>
      <c r="I42" s="25"/>
      <c r="J42" s="26">
        <f>Table1118304254667890102[Kosto e parashikuar]-Table1118304254667890102[Kosto faktike]</f>
        <v>0</v>
      </c>
    </row>
    <row r="43" spans="1:10" ht="15.75" customHeight="1" x14ac:dyDescent="0.2">
      <c r="A43" s="4"/>
      <c r="B43" s="24" t="s">
        <v>0</v>
      </c>
      <c r="C43" s="32">
        <f>SUBTOTAL(109,Table519314355677991103[Kosto e parashikuar])</f>
        <v>0</v>
      </c>
      <c r="D43" s="32">
        <f>SUBTOTAL(109,Table519314355677991103[Kosto faktike])</f>
        <v>0</v>
      </c>
      <c r="E43" s="33">
        <f>SUBTOTAL(109,Table519314355677991103[Diferenca])</f>
        <v>0</v>
      </c>
      <c r="F43" s="9"/>
      <c r="G43" s="5"/>
      <c r="H43" s="25"/>
      <c r="I43" s="25"/>
      <c r="J43" s="26">
        <f>Table1118304254667890102[Kosto e parashikuar]-Table1118304254667890102[Kosto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9"/>
      <c r="G44" s="5"/>
      <c r="H44" s="25"/>
      <c r="I44" s="25"/>
      <c r="J44" s="26">
        <f>Table1118304254667890102[Kosto e parashikuar]-Table1118304254667890102[Kosto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9"/>
      <c r="G45" s="24" t="s">
        <v>0</v>
      </c>
      <c r="H45" s="32">
        <f>SUBTOTAL(109,Table1118304254667890102[Kosto e parashikuar])</f>
        <v>0</v>
      </c>
      <c r="I45" s="32">
        <f>SUBTOTAL(109,Table1118304254667890102[Kosto faktike])</f>
        <v>0</v>
      </c>
      <c r="J45" s="33">
        <f>SUBTOTAL(109,Table1118304254667890102[Diferenca])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Table617294153657789101[Kosto e parashikuar]-Table617294153657789101[Kosto faktike]</f>
        <v>0</v>
      </c>
      <c r="F46" s="9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Table617294153657789101[Kosto e parashikuar]-Table617294153657789101[Kosto faktike]</f>
        <v>0</v>
      </c>
      <c r="F47" s="9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Table617294153657789101[Kosto e parashikuar]-Table617294153657789101[Kosto faktike]</f>
        <v>0</v>
      </c>
      <c r="F48" s="9"/>
      <c r="G48" s="5"/>
      <c r="H48" s="25"/>
      <c r="I48" s="25"/>
      <c r="J48" s="26">
        <f>Table1216284052647688100[Kosto e parashikuar]-Table1216284052647688100[Kosto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Table617294153657789101[Kosto e parashikuar]-Table617294153657789101[Kosto faktike]</f>
        <v>0</v>
      </c>
      <c r="F49" s="9"/>
      <c r="G49" s="5"/>
      <c r="H49" s="25"/>
      <c r="I49" s="25"/>
      <c r="J49" s="26">
        <f>Table1216284052647688100[Kosto e parashikuar]-Table1216284052647688100[Kosto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Table617294153657789101[Kosto e parashikuar]-Table617294153657789101[Kosto faktike]</f>
        <v>0</v>
      </c>
      <c r="F50" s="9"/>
      <c r="G50" s="5"/>
      <c r="H50" s="25"/>
      <c r="I50" s="25"/>
      <c r="J50" s="26">
        <f>Table1216284052647688100[Kosto e parashikuar]-Table1216284052647688100[Kosto faktike]</f>
        <v>0</v>
      </c>
    </row>
    <row r="51" spans="1:10" ht="15.75" customHeight="1" x14ac:dyDescent="0.2">
      <c r="A51" s="4"/>
      <c r="B51" s="24" t="s">
        <v>0</v>
      </c>
      <c r="C51" s="32">
        <f>SUBTOTAL(109,Table617294153657789101[Kosto e parashikuar])</f>
        <v>0</v>
      </c>
      <c r="D51" s="32">
        <f>SUBTOTAL(109,Table617294153657789101[Kosto faktike])</f>
        <v>0</v>
      </c>
      <c r="E51" s="33">
        <f>SUBTOTAL(109,Table617294153657789101[Diferenca])</f>
        <v>0</v>
      </c>
      <c r="F51" s="9"/>
      <c r="G51" s="5"/>
      <c r="H51" s="25"/>
      <c r="I51" s="25"/>
      <c r="J51" s="26">
        <f>Table1216284052647688100[Kosto e parashikuar]-Table1216284052647688100[Kosto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9"/>
      <c r="G52" s="24" t="s">
        <v>0</v>
      </c>
      <c r="H52" s="32">
        <f>SUBTOTAL(109,Table1216284052647688100[Kosto e parashikuar])</f>
        <v>0</v>
      </c>
      <c r="I52" s="32">
        <f>SUBTOTAL(109,Table1216284052647688100[Kosto faktike])</f>
        <v>0</v>
      </c>
      <c r="J52" s="33">
        <f>SUBTOTAL(109,Table1216284052647688100[Diferenca])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9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Table724364860728496108[Kosto e parashikuar]-Table724364860728496108[Kosto faktike]</f>
        <v>0</v>
      </c>
      <c r="F54" s="9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Table724364860728496108[Kosto e parashikuar]-Table724364860728496108[Kosto faktike]</f>
        <v>0</v>
      </c>
      <c r="F55" s="9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Table724364860728496108[Kosto e parashikuar]-Table724364860728496108[Kosto faktike]</f>
        <v>0</v>
      </c>
      <c r="F56" s="9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Table724364860728496108[Kosto e parashikuar]-Table724364860728496108[Kosto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Table724364860728496108[Kosto e parashikuar]-Table724364860728496108[Kosto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SUBTOTAL(109,Table724364860728496108[Kosto e parashikuar])</f>
        <v>0</v>
      </c>
      <c r="D59" s="32">
        <f>SUBTOTAL(109,Table724364860728496108[Kosto faktike])</f>
        <v>0</v>
      </c>
      <c r="E59" s="33">
        <f>SUBTOTAL(109,Table724364860728496108[Diferenca])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G56:I57"/>
    <mergeCell ref="J56:J57"/>
    <mergeCell ref="G58:I59"/>
    <mergeCell ref="J58:J59"/>
    <mergeCell ref="G40:J40"/>
    <mergeCell ref="B44:E44"/>
    <mergeCell ref="G46:J46"/>
    <mergeCell ref="B52:E52"/>
    <mergeCell ref="G53:J53"/>
    <mergeCell ref="G54:I55"/>
    <mergeCell ref="J54:J55"/>
    <mergeCell ref="G18:J18"/>
    <mergeCell ref="B22:E22"/>
    <mergeCell ref="G27:J27"/>
    <mergeCell ref="B32:E32"/>
    <mergeCell ref="G34:J34"/>
    <mergeCell ref="B38:E38"/>
    <mergeCell ref="B7:B9"/>
    <mergeCell ref="C7:D7"/>
    <mergeCell ref="C8:D8"/>
    <mergeCell ref="G8:I9"/>
    <mergeCell ref="J8:J9"/>
    <mergeCell ref="C9:D9"/>
    <mergeCell ref="B2:J2"/>
    <mergeCell ref="B3:D3"/>
    <mergeCell ref="B4:B6"/>
    <mergeCell ref="C4:D4"/>
    <mergeCell ref="G4:I5"/>
    <mergeCell ref="J4:J5"/>
    <mergeCell ref="C5:D5"/>
    <mergeCell ref="C6:D6"/>
    <mergeCell ref="G6:I7"/>
    <mergeCell ref="J6:J7"/>
  </mergeCells>
  <conditionalFormatting sqref="E40:E43 J20:J26 E24:E31 E12:E21 E34:E37 E46:E51 E54:E59 J12:J17 J29:J33 J36:J39 J42:J45 J48:J52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zoomScale="98" zoomScaleNormal="98" workbookViewId="0">
      <selection activeCell="G18" sqref="G18:J18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30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30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21"/>
      <c r="C10" s="21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Table11426385062748698110[Kosto e parashikuar]-Table11426385062748698110[Kosto faktike]</f>
        <v>100</v>
      </c>
      <c r="F12" s="9"/>
      <c r="G12" s="5" t="s">
        <v>26</v>
      </c>
      <c r="H12" s="25">
        <v>0</v>
      </c>
      <c r="I12" s="25">
        <v>50</v>
      </c>
      <c r="J12" s="26">
        <f>Table225374961738597109121[Kosto e parashikuar]-Table225374961738597109121[Kosto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Table11426385062748698110[Kosto e parashikuar]-Table11426385062748698110[Kosto faktike]</f>
        <v>-40</v>
      </c>
      <c r="F13" s="9"/>
      <c r="G13" s="5" t="s">
        <v>27</v>
      </c>
      <c r="H13" s="25"/>
      <c r="I13" s="25"/>
      <c r="J13" s="26">
        <f>Table225374961738597109121[Kosto e parashikuar]-Table225374961738597109121[Kosto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Table11426385062748698110[Kosto e parashikuar]-Table11426385062748698110[Kosto faktike]</f>
        <v>-10</v>
      </c>
      <c r="F14" s="9"/>
      <c r="G14" s="5" t="s">
        <v>28</v>
      </c>
      <c r="H14" s="25"/>
      <c r="I14" s="25"/>
      <c r="J14" s="26">
        <f>Table225374961738597109121[Kosto e parashikuar]-Table225374961738597109121[Kosto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Table11426385062748698110[Kosto e parashikuar]-Table11426385062748698110[Kosto faktike]</f>
        <v>20</v>
      </c>
      <c r="F15" s="9"/>
      <c r="G15" s="5" t="s">
        <v>29</v>
      </c>
      <c r="H15" s="25"/>
      <c r="I15" s="25"/>
      <c r="J15" s="26">
        <f>Table225374961738597109121[Kosto e parashikuar]-Table225374961738597109121[Kosto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Table11426385062748698110[Kosto e parashikuar]-Table11426385062748698110[Kosto faktike]</f>
        <v>0</v>
      </c>
      <c r="F16" s="9"/>
      <c r="G16" s="5" t="s">
        <v>25</v>
      </c>
      <c r="H16" s="25"/>
      <c r="I16" s="25"/>
      <c r="J16" s="26">
        <f>Table225374961738597109121[Kosto e parashikuar]-Table225374961738597109121[Kosto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Table11426385062748698110[Kosto e parashikuar]-Table11426385062748698110[Kosto faktike]</f>
        <v>0</v>
      </c>
      <c r="F17" s="9"/>
      <c r="G17" s="24" t="s">
        <v>0</v>
      </c>
      <c r="H17" s="31">
        <f>SUBTOTAL(109,Table225374961738597109121[Kosto e parashikuar])</f>
        <v>0</v>
      </c>
      <c r="I17" s="32">
        <f>SUBTOTAL(109,Table225374961738597109121[Kosto faktike])</f>
        <v>50</v>
      </c>
      <c r="J17" s="33">
        <f>SUBTOTAL(109,Table225374961738597109121[Diferenca])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Table11426385062748698110[Kosto e parashikuar]-Table11426385062748698110[Kosto faktike]</f>
        <v>0</v>
      </c>
      <c r="F18" s="9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Table11426385062748698110[Kosto e parashikuar]-Table11426385062748698110[Kosto faktike]</f>
        <v>0</v>
      </c>
      <c r="F19" s="9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Table11426385062748698110[Kosto e parashikuar]-Table11426385062748698110[Kosto faktike]</f>
        <v>0</v>
      </c>
      <c r="F20" s="9"/>
      <c r="G20" s="5" t="s">
        <v>31</v>
      </c>
      <c r="H20" s="25"/>
      <c r="I20" s="25"/>
      <c r="J20" s="26">
        <f>Table822344658708294106118[Kosto e parashikuar]-Table822344658708294106118[Kosto faktike]</f>
        <v>0</v>
      </c>
    </row>
    <row r="21" spans="1:10" ht="15.75" customHeight="1" x14ac:dyDescent="0.2">
      <c r="A21" s="4"/>
      <c r="B21" s="3" t="s">
        <v>0</v>
      </c>
      <c r="C21" s="25">
        <f>SUBTOTAL(109,Table11426385062748698110[Kosto e parashikuar])</f>
        <v>1810</v>
      </c>
      <c r="D21" s="25">
        <f>SUBTOTAL(109,Table11426385062748698110[Kosto faktike])</f>
        <v>1740</v>
      </c>
      <c r="E21" s="27">
        <f>SUBTOTAL(109,Table11426385062748698110[Diferenca])</f>
        <v>70</v>
      </c>
      <c r="F21" s="9"/>
      <c r="G21" s="5" t="s">
        <v>32</v>
      </c>
      <c r="H21" s="25"/>
      <c r="I21" s="25"/>
      <c r="J21" s="26">
        <f>Table822344658708294106118[Kosto e parashikuar]-Table822344658708294106118[Kosto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9"/>
      <c r="G22" s="5" t="s">
        <v>33</v>
      </c>
      <c r="H22" s="25"/>
      <c r="I22" s="25"/>
      <c r="J22" s="26">
        <f>Table822344658708294106118[Kosto e parashikuar]-Table822344658708294106118[Kosto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9"/>
      <c r="G23" s="5" t="s">
        <v>33</v>
      </c>
      <c r="H23" s="25"/>
      <c r="I23" s="25"/>
      <c r="J23" s="26">
        <f>Table822344658708294106118[Kosto e parashikuar]-Table822344658708294106118[Kosto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Table321334557698193105117[Kosto e parashikuar]-Table321334557698193105117[Kosto faktike]</f>
        <v>0</v>
      </c>
      <c r="F24" s="9"/>
      <c r="G24" s="5" t="s">
        <v>33</v>
      </c>
      <c r="H24" s="25"/>
      <c r="I24" s="25"/>
      <c r="J24" s="26">
        <f>Table822344658708294106118[Kosto e parashikuar]-Table822344658708294106118[Kosto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Table321334557698193105117[Kosto e parashikuar]-Table321334557698193105117[Kosto faktike]</f>
        <v>0</v>
      </c>
      <c r="F25" s="9"/>
      <c r="G25" s="5" t="s">
        <v>25</v>
      </c>
      <c r="H25" s="25"/>
      <c r="I25" s="25"/>
      <c r="J25" s="26">
        <f>Table822344658708294106118[Kosto e parashikuar]-Table822344658708294106118[Kosto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Table321334557698193105117[Kosto e parashikuar]-Table321334557698193105117[Kosto faktike]</f>
        <v>0</v>
      </c>
      <c r="F26" s="9"/>
      <c r="G26" s="24" t="s">
        <v>0</v>
      </c>
      <c r="H26" s="32">
        <f>SUBTOTAL(109,Table822344658708294106118[Kosto e parashikuar])</f>
        <v>0</v>
      </c>
      <c r="I26" s="32">
        <f>SUBTOTAL(109,Table822344658708294106118[Kosto faktike])</f>
        <v>0</v>
      </c>
      <c r="J26" s="33">
        <f>SUBTOTAL(109,Table822344658708294106118[Diferenca])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Table321334557698193105117[Kosto e parashikuar]-Table321334557698193105117[Kosto faktike]</f>
        <v>0</v>
      </c>
      <c r="F27" s="9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Table321334557698193105117[Kosto e parashikuar]-Table321334557698193105117[Kosto faktike]</f>
        <v>0</v>
      </c>
      <c r="F28" s="9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Table321334557698193105117[Kosto e parashikuar]-Table321334557698193105117[Kosto faktike]</f>
        <v>0</v>
      </c>
      <c r="F29" s="9"/>
      <c r="G29" s="5" t="s">
        <v>4</v>
      </c>
      <c r="H29" s="25"/>
      <c r="I29" s="25"/>
      <c r="J29" s="26">
        <f>Table920324456688092104116[Kosto e parashikuar]-Table920324456688092104116[Kosto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Table321334557698193105117[Kosto e parashikuar]-Table321334557698193105117[Kosto faktike]</f>
        <v>0</v>
      </c>
      <c r="F30" s="9"/>
      <c r="G30" s="5" t="s">
        <v>3</v>
      </c>
      <c r="H30" s="25"/>
      <c r="I30" s="25"/>
      <c r="J30" s="26">
        <f>Table920324456688092104116[Kosto e parashikuar]-Table920324456688092104116[Kosto faktike]</f>
        <v>0</v>
      </c>
    </row>
    <row r="31" spans="1:10" ht="15.75" customHeight="1" x14ac:dyDescent="0.2">
      <c r="A31" s="4"/>
      <c r="B31" s="24" t="s">
        <v>0</v>
      </c>
      <c r="C31" s="32">
        <f>SUBTOTAL(109,Table321334557698193105117[Kosto e parashikuar])</f>
        <v>250</v>
      </c>
      <c r="D31" s="32">
        <f>SUBTOTAL(109,Table321334557698193105117[Kosto faktike])</f>
        <v>250</v>
      </c>
      <c r="E31" s="33">
        <f>SUBTOTAL(109,Table321334557698193105117[Diferenca])</f>
        <v>0</v>
      </c>
      <c r="F31" s="9"/>
      <c r="G31" s="5" t="s">
        <v>2</v>
      </c>
      <c r="H31" s="25"/>
      <c r="I31" s="25"/>
      <c r="J31" s="26">
        <f>Table920324456688092104116[Kosto e parashikuar]-Table920324456688092104116[Kosto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9"/>
      <c r="G32" s="5" t="s">
        <v>1</v>
      </c>
      <c r="H32" s="25"/>
      <c r="I32" s="25"/>
      <c r="J32" s="26">
        <f>Table920324456688092104116[Kosto e parashikuar]-Table920324456688092104116[Kosto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9"/>
      <c r="G33" s="24" t="s">
        <v>0</v>
      </c>
      <c r="H33" s="32">
        <f>SUBTOTAL(109,Table920324456688092104116[Kosto e parashikuar])</f>
        <v>0</v>
      </c>
      <c r="I33" s="32">
        <f>SUBTOTAL(109,Table920324456688092104116[Kosto faktike])</f>
        <v>0</v>
      </c>
      <c r="J33" s="33">
        <f>SUBTOTAL(109,Table920324456688092104116[Diferenca])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Table41527395163758799111[Kosto e parashikuar]-Table41527395163758799111[Kosto faktike]</f>
        <v>0</v>
      </c>
      <c r="F34" s="9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Table41527395163758799111[Kosto e parashikuar]-Table41527395163758799111[Kosto faktike]</f>
        <v>0</v>
      </c>
      <c r="F35" s="9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Table41527395163758799111[Kosto e parashikuar]-Table41527395163758799111[Kosto faktike]</f>
        <v>0</v>
      </c>
      <c r="F36" s="9"/>
      <c r="G36" s="5" t="s">
        <v>43</v>
      </c>
      <c r="H36" s="25"/>
      <c r="I36" s="25"/>
      <c r="J36" s="26">
        <f>Table1023354759718395107119[Kosto e parashikuar]-Table1023354759718395107119[Kosto faktike]</f>
        <v>0</v>
      </c>
    </row>
    <row r="37" spans="1:10" ht="15.75" customHeight="1" x14ac:dyDescent="0.2">
      <c r="A37" s="4"/>
      <c r="B37" s="24" t="s">
        <v>0</v>
      </c>
      <c r="C37" s="32">
        <f>SUBTOTAL(109,Table41527395163758799111[Kosto e parashikuar])</f>
        <v>0</v>
      </c>
      <c r="D37" s="32">
        <f>SUBTOTAL(109,Table41527395163758799111[Kosto faktike])</f>
        <v>0</v>
      </c>
      <c r="E37" s="33">
        <f>SUBTOTAL(109,Table41527395163758799111[Diferenca])</f>
        <v>0</v>
      </c>
      <c r="F37" s="9"/>
      <c r="G37" s="5" t="s">
        <v>42</v>
      </c>
      <c r="H37" s="25"/>
      <c r="I37" s="25"/>
      <c r="J37" s="26">
        <f>Table1023354759718395107119[Kosto e parashikuar]-Table1023354759718395107119[Kosto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9"/>
      <c r="G38" s="5" t="s">
        <v>25</v>
      </c>
      <c r="H38" s="25"/>
      <c r="I38" s="25"/>
      <c r="J38" s="26">
        <f>Table1023354759718395107119[Kosto e parashikuar]-Table1023354759718395107119[Kosto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9"/>
      <c r="G39" s="24" t="s">
        <v>0</v>
      </c>
      <c r="H39" s="32">
        <f>SUBTOTAL(109,Table1023354759718395107119[Kosto e parashikuar])</f>
        <v>0</v>
      </c>
      <c r="I39" s="32">
        <f>SUBTOTAL(109,Table1023354759718395107119[Kosto faktike])</f>
        <v>0</v>
      </c>
      <c r="J39" s="33">
        <f>SUBTOTAL(109,Table1023354759718395107119[Diferenca])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Table519314355677991103115[Kosto e parashikuar]-Table519314355677991103115[Kosto faktike]</f>
        <v>0</v>
      </c>
      <c r="F40" s="9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Table519314355677991103115[Kosto e parashikuar]-Table519314355677991103115[Kosto faktike]</f>
        <v>0</v>
      </c>
      <c r="F41" s="9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Table519314355677991103115[Kosto e parashikuar]-Table519314355677991103115[Kosto faktike]</f>
        <v>0</v>
      </c>
      <c r="F42" s="9"/>
      <c r="G42" s="5"/>
      <c r="H42" s="25"/>
      <c r="I42" s="25"/>
      <c r="J42" s="26">
        <f>Table1118304254667890102114[Kosto e parashikuar]-Table1118304254667890102114[Kosto faktike]</f>
        <v>0</v>
      </c>
    </row>
    <row r="43" spans="1:10" ht="15.75" customHeight="1" x14ac:dyDescent="0.2">
      <c r="A43" s="4"/>
      <c r="B43" s="24" t="s">
        <v>0</v>
      </c>
      <c r="C43" s="32">
        <f>SUBTOTAL(109,Table519314355677991103115[Kosto e parashikuar])</f>
        <v>0</v>
      </c>
      <c r="D43" s="32">
        <f>SUBTOTAL(109,Table519314355677991103115[Kosto faktike])</f>
        <v>0</v>
      </c>
      <c r="E43" s="33">
        <f>SUBTOTAL(109,Table519314355677991103115[Diferenca])</f>
        <v>0</v>
      </c>
      <c r="F43" s="9"/>
      <c r="G43" s="5"/>
      <c r="H43" s="25"/>
      <c r="I43" s="25"/>
      <c r="J43" s="26">
        <f>Table1118304254667890102114[Kosto e parashikuar]-Table1118304254667890102114[Kosto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9"/>
      <c r="G44" s="5"/>
      <c r="H44" s="25"/>
      <c r="I44" s="25"/>
      <c r="J44" s="26">
        <f>Table1118304254667890102114[Kosto e parashikuar]-Table1118304254667890102114[Kosto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9"/>
      <c r="G45" s="24" t="s">
        <v>0</v>
      </c>
      <c r="H45" s="32">
        <f>SUBTOTAL(109,Table1118304254667890102114[Kosto e parashikuar])</f>
        <v>0</v>
      </c>
      <c r="I45" s="32">
        <f>SUBTOTAL(109,Table1118304254667890102114[Kosto faktike])</f>
        <v>0</v>
      </c>
      <c r="J45" s="33">
        <f>SUBTOTAL(109,Table1118304254667890102114[Diferenca])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Table617294153657789101113[Kosto e parashikuar]-Table617294153657789101113[Kosto faktike]</f>
        <v>0</v>
      </c>
      <c r="F46" s="9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Table617294153657789101113[Kosto e parashikuar]-Table617294153657789101113[Kosto faktike]</f>
        <v>0</v>
      </c>
      <c r="F47" s="9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Table617294153657789101113[Kosto e parashikuar]-Table617294153657789101113[Kosto faktike]</f>
        <v>0</v>
      </c>
      <c r="F48" s="9"/>
      <c r="G48" s="5"/>
      <c r="H48" s="25"/>
      <c r="I48" s="25"/>
      <c r="J48" s="26">
        <f>Table1216284052647688100112[Kosto e parashikuar]-Table1216284052647688100112[Kosto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Table617294153657789101113[Kosto e parashikuar]-Table617294153657789101113[Kosto faktike]</f>
        <v>0</v>
      </c>
      <c r="F49" s="9"/>
      <c r="G49" s="5"/>
      <c r="H49" s="25"/>
      <c r="I49" s="25"/>
      <c r="J49" s="26">
        <f>Table1216284052647688100112[Kosto e parashikuar]-Table1216284052647688100112[Kosto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Table617294153657789101113[Kosto e parashikuar]-Table617294153657789101113[Kosto faktike]</f>
        <v>0</v>
      </c>
      <c r="F50" s="9"/>
      <c r="G50" s="5"/>
      <c r="H50" s="25"/>
      <c r="I50" s="25"/>
      <c r="J50" s="26">
        <f>Table1216284052647688100112[Kosto e parashikuar]-Table1216284052647688100112[Kosto faktike]</f>
        <v>0</v>
      </c>
    </row>
    <row r="51" spans="1:10" ht="15.75" customHeight="1" x14ac:dyDescent="0.2">
      <c r="A51" s="4"/>
      <c r="B51" s="24" t="s">
        <v>0</v>
      </c>
      <c r="C51" s="32">
        <f>SUBTOTAL(109,Table617294153657789101113[Kosto e parashikuar])</f>
        <v>0</v>
      </c>
      <c r="D51" s="32">
        <f>SUBTOTAL(109,Table617294153657789101113[Kosto faktike])</f>
        <v>0</v>
      </c>
      <c r="E51" s="33">
        <f>SUBTOTAL(109,Table617294153657789101113[Diferenca])</f>
        <v>0</v>
      </c>
      <c r="F51" s="9"/>
      <c r="G51" s="5"/>
      <c r="H51" s="25"/>
      <c r="I51" s="25"/>
      <c r="J51" s="26">
        <f>Table1216284052647688100112[Kosto e parashikuar]-Table1216284052647688100112[Kosto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9"/>
      <c r="G52" s="24" t="s">
        <v>0</v>
      </c>
      <c r="H52" s="32">
        <f>SUBTOTAL(109,Table1216284052647688100112[Kosto e parashikuar])</f>
        <v>0</v>
      </c>
      <c r="I52" s="32">
        <f>SUBTOTAL(109,Table1216284052647688100112[Kosto faktike])</f>
        <v>0</v>
      </c>
      <c r="J52" s="33">
        <f>SUBTOTAL(109,Table1216284052647688100112[Diferenca])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9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Table724364860728496108120[Kosto e parashikuar]-Table724364860728496108120[Kosto faktike]</f>
        <v>0</v>
      </c>
      <c r="F54" s="9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Table724364860728496108120[Kosto e parashikuar]-Table724364860728496108120[Kosto faktike]</f>
        <v>0</v>
      </c>
      <c r="F55" s="9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Table724364860728496108120[Kosto e parashikuar]-Table724364860728496108120[Kosto faktike]</f>
        <v>0</v>
      </c>
      <c r="F56" s="9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Table724364860728496108120[Kosto e parashikuar]-Table724364860728496108120[Kosto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Table724364860728496108120[Kosto e parashikuar]-Table724364860728496108120[Kosto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SUBTOTAL(109,Table724364860728496108120[Kosto e parashikuar])</f>
        <v>0</v>
      </c>
      <c r="D59" s="32">
        <f>SUBTOTAL(109,Table724364860728496108120[Kosto faktike])</f>
        <v>0</v>
      </c>
      <c r="E59" s="33">
        <f>SUBTOTAL(109,Table724364860728496108120[Diferenca])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G56:I57"/>
    <mergeCell ref="J56:J57"/>
    <mergeCell ref="G58:I59"/>
    <mergeCell ref="J58:J59"/>
    <mergeCell ref="G40:J40"/>
    <mergeCell ref="B44:E44"/>
    <mergeCell ref="G46:J46"/>
    <mergeCell ref="B52:E52"/>
    <mergeCell ref="G53:J53"/>
    <mergeCell ref="G54:I55"/>
    <mergeCell ref="J54:J55"/>
    <mergeCell ref="G18:J18"/>
    <mergeCell ref="B22:E22"/>
    <mergeCell ref="G27:J27"/>
    <mergeCell ref="B32:E32"/>
    <mergeCell ref="G34:J34"/>
    <mergeCell ref="B38:E38"/>
    <mergeCell ref="B7:B9"/>
    <mergeCell ref="C7:D7"/>
    <mergeCell ref="C8:D8"/>
    <mergeCell ref="G8:I9"/>
    <mergeCell ref="J8:J9"/>
    <mergeCell ref="C9:D9"/>
    <mergeCell ref="B2:J2"/>
    <mergeCell ref="B3:D3"/>
    <mergeCell ref="B4:B6"/>
    <mergeCell ref="C4:D4"/>
    <mergeCell ref="G4:I5"/>
    <mergeCell ref="J4:J5"/>
    <mergeCell ref="C5:D5"/>
    <mergeCell ref="C6:D6"/>
    <mergeCell ref="G6:I7"/>
    <mergeCell ref="J6:J7"/>
  </mergeCells>
  <conditionalFormatting sqref="E40:E43 J20:J26 E24:E31 E12:E21 E34:E37 E46:E51 E54:E59 J12:J17 J29:J33 J36:J39 J42:J45 J48:J52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zoomScale="98" zoomScaleNormal="98" workbookViewId="0">
      <selection activeCell="G18" sqref="G18:J18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30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30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21"/>
      <c r="C10" s="21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Table11426385062748698110122[Kosto e parashikuar]-Table11426385062748698110122[Kosto faktike]</f>
        <v>100</v>
      </c>
      <c r="F12" s="9"/>
      <c r="G12" s="5" t="s">
        <v>26</v>
      </c>
      <c r="H12" s="25">
        <v>0</v>
      </c>
      <c r="I12" s="25">
        <v>50</v>
      </c>
      <c r="J12" s="26">
        <f>Table225374961738597109121133[Kosto e parashikuar]-Table225374961738597109121133[Kosto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Table11426385062748698110122[Kosto e parashikuar]-Table11426385062748698110122[Kosto faktike]</f>
        <v>-40</v>
      </c>
      <c r="F13" s="9"/>
      <c r="G13" s="5" t="s">
        <v>27</v>
      </c>
      <c r="H13" s="25"/>
      <c r="I13" s="25"/>
      <c r="J13" s="26">
        <f>Table225374961738597109121133[Kosto e parashikuar]-Table225374961738597109121133[Kosto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Table11426385062748698110122[Kosto e parashikuar]-Table11426385062748698110122[Kosto faktike]</f>
        <v>-10</v>
      </c>
      <c r="F14" s="9"/>
      <c r="G14" s="5" t="s">
        <v>28</v>
      </c>
      <c r="H14" s="25"/>
      <c r="I14" s="25"/>
      <c r="J14" s="26">
        <f>Table225374961738597109121133[Kosto e parashikuar]-Table225374961738597109121133[Kosto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Table11426385062748698110122[Kosto e parashikuar]-Table11426385062748698110122[Kosto faktike]</f>
        <v>20</v>
      </c>
      <c r="F15" s="9"/>
      <c r="G15" s="5" t="s">
        <v>29</v>
      </c>
      <c r="H15" s="25"/>
      <c r="I15" s="25"/>
      <c r="J15" s="26">
        <f>Table225374961738597109121133[Kosto e parashikuar]-Table225374961738597109121133[Kosto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Table11426385062748698110122[Kosto e parashikuar]-Table11426385062748698110122[Kosto faktike]</f>
        <v>0</v>
      </c>
      <c r="F16" s="9"/>
      <c r="G16" s="5" t="s">
        <v>25</v>
      </c>
      <c r="H16" s="25"/>
      <c r="I16" s="25"/>
      <c r="J16" s="26">
        <f>Table225374961738597109121133[Kosto e parashikuar]-Table225374961738597109121133[Kosto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Table11426385062748698110122[Kosto e parashikuar]-Table11426385062748698110122[Kosto faktike]</f>
        <v>0</v>
      </c>
      <c r="F17" s="9"/>
      <c r="G17" s="24" t="s">
        <v>0</v>
      </c>
      <c r="H17" s="31">
        <f>SUBTOTAL(109,Table225374961738597109121133[Kosto e parashikuar])</f>
        <v>0</v>
      </c>
      <c r="I17" s="32">
        <f>SUBTOTAL(109,Table225374961738597109121133[Kosto faktike])</f>
        <v>50</v>
      </c>
      <c r="J17" s="33">
        <f>SUBTOTAL(109,Table225374961738597109121133[Diferenca])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Table11426385062748698110122[Kosto e parashikuar]-Table11426385062748698110122[Kosto faktike]</f>
        <v>0</v>
      </c>
      <c r="F18" s="9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Table11426385062748698110122[Kosto e parashikuar]-Table11426385062748698110122[Kosto faktike]</f>
        <v>0</v>
      </c>
      <c r="F19" s="9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Table11426385062748698110122[Kosto e parashikuar]-Table11426385062748698110122[Kosto faktike]</f>
        <v>0</v>
      </c>
      <c r="F20" s="9"/>
      <c r="G20" s="5" t="s">
        <v>31</v>
      </c>
      <c r="H20" s="25"/>
      <c r="I20" s="25"/>
      <c r="J20" s="26">
        <f>Table822344658708294106118130[Kosto e parashikuar]-Table822344658708294106118130[Kosto faktike]</f>
        <v>0</v>
      </c>
    </row>
    <row r="21" spans="1:10" ht="15.75" customHeight="1" x14ac:dyDescent="0.2">
      <c r="A21" s="4"/>
      <c r="B21" s="3" t="s">
        <v>0</v>
      </c>
      <c r="C21" s="25">
        <f>SUBTOTAL(109,Table11426385062748698110122[Kosto e parashikuar])</f>
        <v>1810</v>
      </c>
      <c r="D21" s="25">
        <f>SUBTOTAL(109,Table11426385062748698110122[Kosto faktike])</f>
        <v>1740</v>
      </c>
      <c r="E21" s="27">
        <f>SUBTOTAL(109,Table11426385062748698110122[Diferenca])</f>
        <v>70</v>
      </c>
      <c r="F21" s="9"/>
      <c r="G21" s="5" t="s">
        <v>32</v>
      </c>
      <c r="H21" s="25"/>
      <c r="I21" s="25"/>
      <c r="J21" s="26">
        <f>Table822344658708294106118130[Kosto e parashikuar]-Table822344658708294106118130[Kosto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9"/>
      <c r="G22" s="5" t="s">
        <v>33</v>
      </c>
      <c r="H22" s="25"/>
      <c r="I22" s="25"/>
      <c r="J22" s="26">
        <f>Table822344658708294106118130[Kosto e parashikuar]-Table822344658708294106118130[Kosto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9"/>
      <c r="G23" s="5" t="s">
        <v>33</v>
      </c>
      <c r="H23" s="25"/>
      <c r="I23" s="25"/>
      <c r="J23" s="26">
        <f>Table822344658708294106118130[Kosto e parashikuar]-Table822344658708294106118130[Kosto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Table321334557698193105117129[Kosto e parashikuar]-Table321334557698193105117129[Kosto faktike]</f>
        <v>0</v>
      </c>
      <c r="F24" s="9"/>
      <c r="G24" s="5" t="s">
        <v>33</v>
      </c>
      <c r="H24" s="25"/>
      <c r="I24" s="25"/>
      <c r="J24" s="26">
        <f>Table822344658708294106118130[Kosto e parashikuar]-Table822344658708294106118130[Kosto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Table321334557698193105117129[Kosto e parashikuar]-Table321334557698193105117129[Kosto faktike]</f>
        <v>0</v>
      </c>
      <c r="F25" s="9"/>
      <c r="G25" s="5" t="s">
        <v>25</v>
      </c>
      <c r="H25" s="25"/>
      <c r="I25" s="25"/>
      <c r="J25" s="26">
        <f>Table822344658708294106118130[Kosto e parashikuar]-Table822344658708294106118130[Kosto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Table321334557698193105117129[Kosto e parashikuar]-Table321334557698193105117129[Kosto faktike]</f>
        <v>0</v>
      </c>
      <c r="F26" s="9"/>
      <c r="G26" s="24" t="s">
        <v>0</v>
      </c>
      <c r="H26" s="32">
        <f>SUBTOTAL(109,Table822344658708294106118130[Kosto e parashikuar])</f>
        <v>0</v>
      </c>
      <c r="I26" s="32">
        <f>SUBTOTAL(109,Table822344658708294106118130[Kosto faktike])</f>
        <v>0</v>
      </c>
      <c r="J26" s="33">
        <f>SUBTOTAL(109,Table822344658708294106118130[Diferenca])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Table321334557698193105117129[Kosto e parashikuar]-Table321334557698193105117129[Kosto faktike]</f>
        <v>0</v>
      </c>
      <c r="F27" s="9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Table321334557698193105117129[Kosto e parashikuar]-Table321334557698193105117129[Kosto faktike]</f>
        <v>0</v>
      </c>
      <c r="F28" s="9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Table321334557698193105117129[Kosto e parashikuar]-Table321334557698193105117129[Kosto faktike]</f>
        <v>0</v>
      </c>
      <c r="F29" s="9"/>
      <c r="G29" s="5" t="s">
        <v>4</v>
      </c>
      <c r="H29" s="25"/>
      <c r="I29" s="25"/>
      <c r="J29" s="26">
        <f>Table920324456688092104116128[Kosto e parashikuar]-Table920324456688092104116128[Kosto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Table321334557698193105117129[Kosto e parashikuar]-Table321334557698193105117129[Kosto faktike]</f>
        <v>0</v>
      </c>
      <c r="F30" s="9"/>
      <c r="G30" s="5" t="s">
        <v>3</v>
      </c>
      <c r="H30" s="25"/>
      <c r="I30" s="25"/>
      <c r="J30" s="26">
        <f>Table920324456688092104116128[Kosto e parashikuar]-Table920324456688092104116128[Kosto faktike]</f>
        <v>0</v>
      </c>
    </row>
    <row r="31" spans="1:10" ht="15.75" customHeight="1" x14ac:dyDescent="0.2">
      <c r="A31" s="4"/>
      <c r="B31" s="24" t="s">
        <v>0</v>
      </c>
      <c r="C31" s="32">
        <f>SUBTOTAL(109,Table321334557698193105117129[Kosto e parashikuar])</f>
        <v>250</v>
      </c>
      <c r="D31" s="32">
        <f>SUBTOTAL(109,Table321334557698193105117129[Kosto faktike])</f>
        <v>250</v>
      </c>
      <c r="E31" s="33">
        <f>SUBTOTAL(109,Table321334557698193105117129[Diferenca])</f>
        <v>0</v>
      </c>
      <c r="F31" s="9"/>
      <c r="G31" s="5" t="s">
        <v>2</v>
      </c>
      <c r="H31" s="25"/>
      <c r="I31" s="25"/>
      <c r="J31" s="26">
        <f>Table920324456688092104116128[Kosto e parashikuar]-Table920324456688092104116128[Kosto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9"/>
      <c r="G32" s="5" t="s">
        <v>1</v>
      </c>
      <c r="H32" s="25"/>
      <c r="I32" s="25"/>
      <c r="J32" s="26">
        <f>Table920324456688092104116128[Kosto e parashikuar]-Table920324456688092104116128[Kosto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9"/>
      <c r="G33" s="24" t="s">
        <v>0</v>
      </c>
      <c r="H33" s="32">
        <f>SUBTOTAL(109,Table920324456688092104116128[Kosto e parashikuar])</f>
        <v>0</v>
      </c>
      <c r="I33" s="32">
        <f>SUBTOTAL(109,Table920324456688092104116128[Kosto faktike])</f>
        <v>0</v>
      </c>
      <c r="J33" s="33">
        <f>SUBTOTAL(109,Table920324456688092104116128[Diferenca])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Table41527395163758799111123[Kosto e parashikuar]-Table41527395163758799111123[Kosto faktike]</f>
        <v>0</v>
      </c>
      <c r="F34" s="9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Table41527395163758799111123[Kosto e parashikuar]-Table41527395163758799111123[Kosto faktike]</f>
        <v>0</v>
      </c>
      <c r="F35" s="9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Table41527395163758799111123[Kosto e parashikuar]-Table41527395163758799111123[Kosto faktike]</f>
        <v>0</v>
      </c>
      <c r="F36" s="9"/>
      <c r="G36" s="5" t="s">
        <v>43</v>
      </c>
      <c r="H36" s="25"/>
      <c r="I36" s="25"/>
      <c r="J36" s="26">
        <f>Table1023354759718395107119131[Kosto e parashikuar]-Table1023354759718395107119131[Kosto faktike]</f>
        <v>0</v>
      </c>
    </row>
    <row r="37" spans="1:10" ht="15.75" customHeight="1" x14ac:dyDescent="0.2">
      <c r="A37" s="4"/>
      <c r="B37" s="24" t="s">
        <v>0</v>
      </c>
      <c r="C37" s="32">
        <f>SUBTOTAL(109,Table41527395163758799111123[Kosto e parashikuar])</f>
        <v>0</v>
      </c>
      <c r="D37" s="32">
        <f>SUBTOTAL(109,Table41527395163758799111123[Kosto faktike])</f>
        <v>0</v>
      </c>
      <c r="E37" s="33">
        <f>SUBTOTAL(109,Table41527395163758799111123[Diferenca])</f>
        <v>0</v>
      </c>
      <c r="F37" s="9"/>
      <c r="G37" s="5" t="s">
        <v>42</v>
      </c>
      <c r="H37" s="25"/>
      <c r="I37" s="25"/>
      <c r="J37" s="26">
        <f>Table1023354759718395107119131[Kosto e parashikuar]-Table1023354759718395107119131[Kosto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9"/>
      <c r="G38" s="5" t="s">
        <v>25</v>
      </c>
      <c r="H38" s="25"/>
      <c r="I38" s="25"/>
      <c r="J38" s="26">
        <f>Table1023354759718395107119131[Kosto e parashikuar]-Table1023354759718395107119131[Kosto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9"/>
      <c r="G39" s="24" t="s">
        <v>0</v>
      </c>
      <c r="H39" s="32">
        <f>SUBTOTAL(109,Table1023354759718395107119131[Kosto e parashikuar])</f>
        <v>0</v>
      </c>
      <c r="I39" s="32">
        <f>SUBTOTAL(109,Table1023354759718395107119131[Kosto faktike])</f>
        <v>0</v>
      </c>
      <c r="J39" s="33">
        <f>SUBTOTAL(109,Table1023354759718395107119131[Diferenca])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Table519314355677991103115127[Kosto e parashikuar]-Table519314355677991103115127[Kosto faktike]</f>
        <v>0</v>
      </c>
      <c r="F40" s="9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Table519314355677991103115127[Kosto e parashikuar]-Table519314355677991103115127[Kosto faktike]</f>
        <v>0</v>
      </c>
      <c r="F41" s="9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Table519314355677991103115127[Kosto e parashikuar]-Table519314355677991103115127[Kosto faktike]</f>
        <v>0</v>
      </c>
      <c r="F42" s="9"/>
      <c r="G42" s="5"/>
      <c r="H42" s="25"/>
      <c r="I42" s="25"/>
      <c r="J42" s="26">
        <f>Table1118304254667890102114126[Kosto e parashikuar]-Table1118304254667890102114126[Kosto faktike]</f>
        <v>0</v>
      </c>
    </row>
    <row r="43" spans="1:10" ht="15.75" customHeight="1" x14ac:dyDescent="0.2">
      <c r="A43" s="4"/>
      <c r="B43" s="24" t="s">
        <v>0</v>
      </c>
      <c r="C43" s="32">
        <f>SUBTOTAL(109,Table519314355677991103115127[Kosto e parashikuar])</f>
        <v>0</v>
      </c>
      <c r="D43" s="32">
        <f>SUBTOTAL(109,Table519314355677991103115127[Kosto faktike])</f>
        <v>0</v>
      </c>
      <c r="E43" s="33">
        <f>SUBTOTAL(109,Table519314355677991103115127[Diferenca])</f>
        <v>0</v>
      </c>
      <c r="F43" s="9"/>
      <c r="G43" s="5"/>
      <c r="H43" s="25"/>
      <c r="I43" s="25"/>
      <c r="J43" s="26">
        <f>Table1118304254667890102114126[Kosto e parashikuar]-Table1118304254667890102114126[Kosto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9"/>
      <c r="G44" s="5"/>
      <c r="H44" s="25"/>
      <c r="I44" s="25"/>
      <c r="J44" s="26">
        <f>Table1118304254667890102114126[Kosto e parashikuar]-Table1118304254667890102114126[Kosto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9"/>
      <c r="G45" s="24" t="s">
        <v>0</v>
      </c>
      <c r="H45" s="32">
        <f>SUBTOTAL(109,Table1118304254667890102114126[Kosto e parashikuar])</f>
        <v>0</v>
      </c>
      <c r="I45" s="32">
        <f>SUBTOTAL(109,Table1118304254667890102114126[Kosto faktike])</f>
        <v>0</v>
      </c>
      <c r="J45" s="33">
        <f>SUBTOTAL(109,Table1118304254667890102114126[Diferenca])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Table617294153657789101113125[Kosto e parashikuar]-Table617294153657789101113125[Kosto faktike]</f>
        <v>0</v>
      </c>
      <c r="F46" s="9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Table617294153657789101113125[Kosto e parashikuar]-Table617294153657789101113125[Kosto faktike]</f>
        <v>0</v>
      </c>
      <c r="F47" s="9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Table617294153657789101113125[Kosto e parashikuar]-Table617294153657789101113125[Kosto faktike]</f>
        <v>0</v>
      </c>
      <c r="F48" s="9"/>
      <c r="G48" s="5"/>
      <c r="H48" s="25"/>
      <c r="I48" s="25"/>
      <c r="J48" s="26">
        <f>Table1216284052647688100112124[Kosto e parashikuar]-Table1216284052647688100112124[Kosto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Table617294153657789101113125[Kosto e parashikuar]-Table617294153657789101113125[Kosto faktike]</f>
        <v>0</v>
      </c>
      <c r="F49" s="9"/>
      <c r="G49" s="5"/>
      <c r="H49" s="25"/>
      <c r="I49" s="25"/>
      <c r="J49" s="26">
        <f>Table1216284052647688100112124[Kosto e parashikuar]-Table1216284052647688100112124[Kosto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Table617294153657789101113125[Kosto e parashikuar]-Table617294153657789101113125[Kosto faktike]</f>
        <v>0</v>
      </c>
      <c r="F50" s="9"/>
      <c r="G50" s="5"/>
      <c r="H50" s="25"/>
      <c r="I50" s="25"/>
      <c r="J50" s="26">
        <f>Table1216284052647688100112124[Kosto e parashikuar]-Table1216284052647688100112124[Kosto faktike]</f>
        <v>0</v>
      </c>
    </row>
    <row r="51" spans="1:10" ht="15.75" customHeight="1" x14ac:dyDescent="0.2">
      <c r="A51" s="4"/>
      <c r="B51" s="24" t="s">
        <v>0</v>
      </c>
      <c r="C51" s="32">
        <f>SUBTOTAL(109,Table617294153657789101113125[Kosto e parashikuar])</f>
        <v>0</v>
      </c>
      <c r="D51" s="32">
        <f>SUBTOTAL(109,Table617294153657789101113125[Kosto faktike])</f>
        <v>0</v>
      </c>
      <c r="E51" s="33">
        <f>SUBTOTAL(109,Table617294153657789101113125[Diferenca])</f>
        <v>0</v>
      </c>
      <c r="F51" s="9"/>
      <c r="G51" s="5"/>
      <c r="H51" s="25"/>
      <c r="I51" s="25"/>
      <c r="J51" s="26">
        <f>Table1216284052647688100112124[Kosto e parashikuar]-Table1216284052647688100112124[Kosto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9"/>
      <c r="G52" s="24" t="s">
        <v>0</v>
      </c>
      <c r="H52" s="32">
        <f>SUBTOTAL(109,Table1216284052647688100112124[Kosto e parashikuar])</f>
        <v>0</v>
      </c>
      <c r="I52" s="32">
        <f>SUBTOTAL(109,Table1216284052647688100112124[Kosto faktike])</f>
        <v>0</v>
      </c>
      <c r="J52" s="33">
        <f>SUBTOTAL(109,Table1216284052647688100112124[Diferenca])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9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Table724364860728496108120132[Kosto e parashikuar]-Table724364860728496108120132[Kosto faktike]</f>
        <v>0</v>
      </c>
      <c r="F54" s="9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Table724364860728496108120132[Kosto e parashikuar]-Table724364860728496108120132[Kosto faktike]</f>
        <v>0</v>
      </c>
      <c r="F55" s="9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Table724364860728496108120132[Kosto e parashikuar]-Table724364860728496108120132[Kosto faktike]</f>
        <v>0</v>
      </c>
      <c r="F56" s="9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Table724364860728496108120132[Kosto e parashikuar]-Table724364860728496108120132[Kosto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Table724364860728496108120132[Kosto e parashikuar]-Table724364860728496108120132[Kosto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SUBTOTAL(109,Table724364860728496108120132[Kosto e parashikuar])</f>
        <v>0</v>
      </c>
      <c r="D59" s="32">
        <f>SUBTOTAL(109,Table724364860728496108120132[Kosto faktike])</f>
        <v>0</v>
      </c>
      <c r="E59" s="33">
        <f>SUBTOTAL(109,Table724364860728496108120132[Diferenca])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G56:I57"/>
    <mergeCell ref="J56:J57"/>
    <mergeCell ref="G58:I59"/>
    <mergeCell ref="J58:J59"/>
    <mergeCell ref="G40:J40"/>
    <mergeCell ref="B44:E44"/>
    <mergeCell ref="G46:J46"/>
    <mergeCell ref="B52:E52"/>
    <mergeCell ref="G53:J53"/>
    <mergeCell ref="G54:I55"/>
    <mergeCell ref="J54:J55"/>
    <mergeCell ref="G18:J18"/>
    <mergeCell ref="B22:E22"/>
    <mergeCell ref="G27:J27"/>
    <mergeCell ref="B32:E32"/>
    <mergeCell ref="G34:J34"/>
    <mergeCell ref="B38:E38"/>
    <mergeCell ref="B7:B9"/>
    <mergeCell ref="C7:D7"/>
    <mergeCell ref="C8:D8"/>
    <mergeCell ref="G8:I9"/>
    <mergeCell ref="J8:J9"/>
    <mergeCell ref="C9:D9"/>
    <mergeCell ref="B2:J2"/>
    <mergeCell ref="B3:D3"/>
    <mergeCell ref="B4:B6"/>
    <mergeCell ref="C4:D4"/>
    <mergeCell ref="G4:I5"/>
    <mergeCell ref="J4:J5"/>
    <mergeCell ref="C5:D5"/>
    <mergeCell ref="C6:D6"/>
    <mergeCell ref="G6:I7"/>
    <mergeCell ref="J6:J7"/>
  </mergeCells>
  <conditionalFormatting sqref="E40:E43 J20:J26 E24:E31 E12:E21 E34:E37 E46:E51 E54:E59 J12:J17 J29:J33 J36:J39 J42:J45 J48:J52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zoomScale="98" zoomScaleNormal="98" workbookViewId="0">
      <selection activeCell="G18" sqref="G18:J18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30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30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21"/>
      <c r="C10" s="21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Table11426385062748698110122134[Kosto e parashikuar]-Table11426385062748698110122134[Kosto faktike]</f>
        <v>100</v>
      </c>
      <c r="F12" s="9"/>
      <c r="G12" s="5" t="s">
        <v>26</v>
      </c>
      <c r="H12" s="25">
        <v>0</v>
      </c>
      <c r="I12" s="25">
        <v>50</v>
      </c>
      <c r="J12" s="26">
        <f>Table225374961738597109121133145[Kosto e parashikuar]-Table225374961738597109121133145[Kosto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Table11426385062748698110122134[Kosto e parashikuar]-Table11426385062748698110122134[Kosto faktike]</f>
        <v>-40</v>
      </c>
      <c r="F13" s="9"/>
      <c r="G13" s="5" t="s">
        <v>27</v>
      </c>
      <c r="H13" s="25"/>
      <c r="I13" s="25"/>
      <c r="J13" s="26">
        <f>Table225374961738597109121133145[Kosto e parashikuar]-Table225374961738597109121133145[Kosto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Table11426385062748698110122134[Kosto e parashikuar]-Table11426385062748698110122134[Kosto faktike]</f>
        <v>-10</v>
      </c>
      <c r="F14" s="9"/>
      <c r="G14" s="5" t="s">
        <v>28</v>
      </c>
      <c r="H14" s="25"/>
      <c r="I14" s="25"/>
      <c r="J14" s="26">
        <f>Table225374961738597109121133145[Kosto e parashikuar]-Table225374961738597109121133145[Kosto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Table11426385062748698110122134[Kosto e parashikuar]-Table11426385062748698110122134[Kosto faktike]</f>
        <v>20</v>
      </c>
      <c r="F15" s="9"/>
      <c r="G15" s="5" t="s">
        <v>29</v>
      </c>
      <c r="H15" s="25"/>
      <c r="I15" s="25"/>
      <c r="J15" s="26">
        <f>Table225374961738597109121133145[Kosto e parashikuar]-Table225374961738597109121133145[Kosto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Table11426385062748698110122134[Kosto e parashikuar]-Table11426385062748698110122134[Kosto faktike]</f>
        <v>0</v>
      </c>
      <c r="F16" s="9"/>
      <c r="G16" s="5" t="s">
        <v>25</v>
      </c>
      <c r="H16" s="25"/>
      <c r="I16" s="25"/>
      <c r="J16" s="26">
        <f>Table225374961738597109121133145[Kosto e parashikuar]-Table225374961738597109121133145[Kosto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Table11426385062748698110122134[Kosto e parashikuar]-Table11426385062748698110122134[Kosto faktike]</f>
        <v>0</v>
      </c>
      <c r="F17" s="9"/>
      <c r="G17" s="24" t="s">
        <v>0</v>
      </c>
      <c r="H17" s="31">
        <f>SUBTOTAL(109,Table225374961738597109121133145[Kosto e parashikuar])</f>
        <v>0</v>
      </c>
      <c r="I17" s="32">
        <f>SUBTOTAL(109,Table225374961738597109121133145[Kosto faktike])</f>
        <v>50</v>
      </c>
      <c r="J17" s="33">
        <f>SUBTOTAL(109,Table225374961738597109121133145[Diferenca])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Table11426385062748698110122134[Kosto e parashikuar]-Table11426385062748698110122134[Kosto faktike]</f>
        <v>0</v>
      </c>
      <c r="F18" s="9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Table11426385062748698110122134[Kosto e parashikuar]-Table11426385062748698110122134[Kosto faktike]</f>
        <v>0</v>
      </c>
      <c r="F19" s="9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Table11426385062748698110122134[Kosto e parashikuar]-Table11426385062748698110122134[Kosto faktike]</f>
        <v>0</v>
      </c>
      <c r="F20" s="9"/>
      <c r="G20" s="5" t="s">
        <v>31</v>
      </c>
      <c r="H20" s="25"/>
      <c r="I20" s="25"/>
      <c r="J20" s="26">
        <f>Table822344658708294106118130142[Kosto e parashikuar]-Table822344658708294106118130142[Kosto faktike]</f>
        <v>0</v>
      </c>
    </row>
    <row r="21" spans="1:10" ht="15.75" customHeight="1" x14ac:dyDescent="0.2">
      <c r="A21" s="4"/>
      <c r="B21" s="3" t="s">
        <v>0</v>
      </c>
      <c r="C21" s="25">
        <f>SUBTOTAL(109,Table11426385062748698110122134[Kosto e parashikuar])</f>
        <v>1810</v>
      </c>
      <c r="D21" s="25">
        <f>SUBTOTAL(109,Table11426385062748698110122134[Kosto faktike])</f>
        <v>1740</v>
      </c>
      <c r="E21" s="27">
        <f>SUBTOTAL(109,Table11426385062748698110122134[Diferenca])</f>
        <v>70</v>
      </c>
      <c r="F21" s="9"/>
      <c r="G21" s="5" t="s">
        <v>32</v>
      </c>
      <c r="H21" s="25"/>
      <c r="I21" s="25"/>
      <c r="J21" s="26">
        <f>Table822344658708294106118130142[Kosto e parashikuar]-Table822344658708294106118130142[Kosto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9"/>
      <c r="G22" s="5" t="s">
        <v>33</v>
      </c>
      <c r="H22" s="25"/>
      <c r="I22" s="25"/>
      <c r="J22" s="26">
        <f>Table822344658708294106118130142[Kosto e parashikuar]-Table822344658708294106118130142[Kosto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9"/>
      <c r="G23" s="5" t="s">
        <v>33</v>
      </c>
      <c r="H23" s="25"/>
      <c r="I23" s="25"/>
      <c r="J23" s="26">
        <f>Table822344658708294106118130142[Kosto e parashikuar]-Table822344658708294106118130142[Kosto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Table321334557698193105117129141[Kosto e parashikuar]-Table321334557698193105117129141[Kosto faktike]</f>
        <v>0</v>
      </c>
      <c r="F24" s="9"/>
      <c r="G24" s="5" t="s">
        <v>33</v>
      </c>
      <c r="H24" s="25"/>
      <c r="I24" s="25"/>
      <c r="J24" s="26">
        <f>Table822344658708294106118130142[Kosto e parashikuar]-Table822344658708294106118130142[Kosto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Table321334557698193105117129141[Kosto e parashikuar]-Table321334557698193105117129141[Kosto faktike]</f>
        <v>0</v>
      </c>
      <c r="F25" s="9"/>
      <c r="G25" s="5" t="s">
        <v>25</v>
      </c>
      <c r="H25" s="25"/>
      <c r="I25" s="25"/>
      <c r="J25" s="26">
        <f>Table822344658708294106118130142[Kosto e parashikuar]-Table822344658708294106118130142[Kosto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Table321334557698193105117129141[Kosto e parashikuar]-Table321334557698193105117129141[Kosto faktike]</f>
        <v>0</v>
      </c>
      <c r="F26" s="9"/>
      <c r="G26" s="24" t="s">
        <v>0</v>
      </c>
      <c r="H26" s="32">
        <f>SUBTOTAL(109,Table822344658708294106118130142[Kosto e parashikuar])</f>
        <v>0</v>
      </c>
      <c r="I26" s="32">
        <f>SUBTOTAL(109,Table822344658708294106118130142[Kosto faktike])</f>
        <v>0</v>
      </c>
      <c r="J26" s="33">
        <f>SUBTOTAL(109,Table822344658708294106118130142[Diferenca])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Table321334557698193105117129141[Kosto e parashikuar]-Table321334557698193105117129141[Kosto faktike]</f>
        <v>0</v>
      </c>
      <c r="F27" s="9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Table321334557698193105117129141[Kosto e parashikuar]-Table321334557698193105117129141[Kosto faktike]</f>
        <v>0</v>
      </c>
      <c r="F28" s="9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Table321334557698193105117129141[Kosto e parashikuar]-Table321334557698193105117129141[Kosto faktike]</f>
        <v>0</v>
      </c>
      <c r="F29" s="9"/>
      <c r="G29" s="5" t="s">
        <v>4</v>
      </c>
      <c r="H29" s="25"/>
      <c r="I29" s="25"/>
      <c r="J29" s="26">
        <f>Table920324456688092104116128140[Kosto e parashikuar]-Table920324456688092104116128140[Kosto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Table321334557698193105117129141[Kosto e parashikuar]-Table321334557698193105117129141[Kosto faktike]</f>
        <v>0</v>
      </c>
      <c r="F30" s="9"/>
      <c r="G30" s="5" t="s">
        <v>3</v>
      </c>
      <c r="H30" s="25"/>
      <c r="I30" s="25"/>
      <c r="J30" s="26">
        <f>Table920324456688092104116128140[Kosto e parashikuar]-Table920324456688092104116128140[Kosto faktike]</f>
        <v>0</v>
      </c>
    </row>
    <row r="31" spans="1:10" ht="15.75" customHeight="1" x14ac:dyDescent="0.2">
      <c r="A31" s="4"/>
      <c r="B31" s="24" t="s">
        <v>0</v>
      </c>
      <c r="C31" s="32">
        <f>SUBTOTAL(109,Table321334557698193105117129141[Kosto e parashikuar])</f>
        <v>250</v>
      </c>
      <c r="D31" s="32">
        <f>SUBTOTAL(109,Table321334557698193105117129141[Kosto faktike])</f>
        <v>250</v>
      </c>
      <c r="E31" s="33">
        <f>SUBTOTAL(109,Table321334557698193105117129141[Diferenca])</f>
        <v>0</v>
      </c>
      <c r="F31" s="9"/>
      <c r="G31" s="5" t="s">
        <v>2</v>
      </c>
      <c r="H31" s="25"/>
      <c r="I31" s="25"/>
      <c r="J31" s="26">
        <f>Table920324456688092104116128140[Kosto e parashikuar]-Table920324456688092104116128140[Kosto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9"/>
      <c r="G32" s="5" t="s">
        <v>1</v>
      </c>
      <c r="H32" s="25"/>
      <c r="I32" s="25"/>
      <c r="J32" s="26">
        <f>Table920324456688092104116128140[Kosto e parashikuar]-Table920324456688092104116128140[Kosto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9"/>
      <c r="G33" s="24" t="s">
        <v>0</v>
      </c>
      <c r="H33" s="32">
        <f>SUBTOTAL(109,Table920324456688092104116128140[Kosto e parashikuar])</f>
        <v>0</v>
      </c>
      <c r="I33" s="32">
        <f>SUBTOTAL(109,Table920324456688092104116128140[Kosto faktike])</f>
        <v>0</v>
      </c>
      <c r="J33" s="33">
        <f>SUBTOTAL(109,Table920324456688092104116128140[Diferenca])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Table41527395163758799111123135[Kosto e parashikuar]-Table41527395163758799111123135[Kosto faktike]</f>
        <v>0</v>
      </c>
      <c r="F34" s="9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Table41527395163758799111123135[Kosto e parashikuar]-Table41527395163758799111123135[Kosto faktike]</f>
        <v>0</v>
      </c>
      <c r="F35" s="9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Table41527395163758799111123135[Kosto e parashikuar]-Table41527395163758799111123135[Kosto faktike]</f>
        <v>0</v>
      </c>
      <c r="F36" s="9"/>
      <c r="G36" s="5" t="s">
        <v>43</v>
      </c>
      <c r="H36" s="25"/>
      <c r="I36" s="25"/>
      <c r="J36" s="26">
        <f>Table1023354759718395107119131143[Kosto e parashikuar]-Table1023354759718395107119131143[Kosto faktike]</f>
        <v>0</v>
      </c>
    </row>
    <row r="37" spans="1:10" ht="15.75" customHeight="1" x14ac:dyDescent="0.2">
      <c r="A37" s="4"/>
      <c r="B37" s="24" t="s">
        <v>0</v>
      </c>
      <c r="C37" s="32">
        <f>SUBTOTAL(109,Table41527395163758799111123135[Kosto e parashikuar])</f>
        <v>0</v>
      </c>
      <c r="D37" s="32">
        <f>SUBTOTAL(109,Table41527395163758799111123135[Kosto faktike])</f>
        <v>0</v>
      </c>
      <c r="E37" s="33">
        <f>SUBTOTAL(109,Table41527395163758799111123135[Diferenca])</f>
        <v>0</v>
      </c>
      <c r="F37" s="9"/>
      <c r="G37" s="5" t="s">
        <v>42</v>
      </c>
      <c r="H37" s="25"/>
      <c r="I37" s="25"/>
      <c r="J37" s="26">
        <f>Table1023354759718395107119131143[Kosto e parashikuar]-Table1023354759718395107119131143[Kosto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9"/>
      <c r="G38" s="5" t="s">
        <v>25</v>
      </c>
      <c r="H38" s="25"/>
      <c r="I38" s="25"/>
      <c r="J38" s="26">
        <f>Table1023354759718395107119131143[Kosto e parashikuar]-Table1023354759718395107119131143[Kosto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9"/>
      <c r="G39" s="24" t="s">
        <v>0</v>
      </c>
      <c r="H39" s="32">
        <f>SUBTOTAL(109,Table1023354759718395107119131143[Kosto e parashikuar])</f>
        <v>0</v>
      </c>
      <c r="I39" s="32">
        <f>SUBTOTAL(109,Table1023354759718395107119131143[Kosto faktike])</f>
        <v>0</v>
      </c>
      <c r="J39" s="33">
        <f>SUBTOTAL(109,Table1023354759718395107119131143[Diferenca])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Table519314355677991103115127139[Kosto e parashikuar]-Table519314355677991103115127139[Kosto faktike]</f>
        <v>0</v>
      </c>
      <c r="F40" s="9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Table519314355677991103115127139[Kosto e parashikuar]-Table519314355677991103115127139[Kosto faktike]</f>
        <v>0</v>
      </c>
      <c r="F41" s="9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Table519314355677991103115127139[Kosto e parashikuar]-Table519314355677991103115127139[Kosto faktike]</f>
        <v>0</v>
      </c>
      <c r="F42" s="9"/>
      <c r="G42" s="5"/>
      <c r="H42" s="25"/>
      <c r="I42" s="25"/>
      <c r="J42" s="26">
        <f>Table1118304254667890102114126138[Kosto e parashikuar]-Table1118304254667890102114126138[Kosto faktike]</f>
        <v>0</v>
      </c>
    </row>
    <row r="43" spans="1:10" ht="15.75" customHeight="1" x14ac:dyDescent="0.2">
      <c r="A43" s="4"/>
      <c r="B43" s="24" t="s">
        <v>0</v>
      </c>
      <c r="C43" s="32">
        <f>SUBTOTAL(109,Table519314355677991103115127139[Kosto e parashikuar])</f>
        <v>0</v>
      </c>
      <c r="D43" s="32">
        <f>SUBTOTAL(109,Table519314355677991103115127139[Kosto faktike])</f>
        <v>0</v>
      </c>
      <c r="E43" s="33">
        <f>SUBTOTAL(109,Table519314355677991103115127139[Diferenca])</f>
        <v>0</v>
      </c>
      <c r="F43" s="9"/>
      <c r="G43" s="5"/>
      <c r="H43" s="25"/>
      <c r="I43" s="25"/>
      <c r="J43" s="26">
        <f>Table1118304254667890102114126138[Kosto e parashikuar]-Table1118304254667890102114126138[Kosto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9"/>
      <c r="G44" s="5"/>
      <c r="H44" s="25"/>
      <c r="I44" s="25"/>
      <c r="J44" s="26">
        <f>Table1118304254667890102114126138[Kosto e parashikuar]-Table1118304254667890102114126138[Kosto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9"/>
      <c r="G45" s="24" t="s">
        <v>0</v>
      </c>
      <c r="H45" s="32">
        <f>SUBTOTAL(109,Table1118304254667890102114126138[Kosto e parashikuar])</f>
        <v>0</v>
      </c>
      <c r="I45" s="32">
        <f>SUBTOTAL(109,Table1118304254667890102114126138[Kosto faktike])</f>
        <v>0</v>
      </c>
      <c r="J45" s="33">
        <f>SUBTOTAL(109,Table1118304254667890102114126138[Diferenca])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Table617294153657789101113125137[Kosto e parashikuar]-Table617294153657789101113125137[Kosto faktike]</f>
        <v>0</v>
      </c>
      <c r="F46" s="9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Table617294153657789101113125137[Kosto e parashikuar]-Table617294153657789101113125137[Kosto faktike]</f>
        <v>0</v>
      </c>
      <c r="F47" s="9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Table617294153657789101113125137[Kosto e parashikuar]-Table617294153657789101113125137[Kosto faktike]</f>
        <v>0</v>
      </c>
      <c r="F48" s="9"/>
      <c r="G48" s="5"/>
      <c r="H48" s="25"/>
      <c r="I48" s="25"/>
      <c r="J48" s="26">
        <f>Table1216284052647688100112124136[Kosto e parashikuar]-Table1216284052647688100112124136[Kosto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Table617294153657789101113125137[Kosto e parashikuar]-Table617294153657789101113125137[Kosto faktike]</f>
        <v>0</v>
      </c>
      <c r="F49" s="9"/>
      <c r="G49" s="5"/>
      <c r="H49" s="25"/>
      <c r="I49" s="25"/>
      <c r="J49" s="26">
        <f>Table1216284052647688100112124136[Kosto e parashikuar]-Table1216284052647688100112124136[Kosto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Table617294153657789101113125137[Kosto e parashikuar]-Table617294153657789101113125137[Kosto faktike]</f>
        <v>0</v>
      </c>
      <c r="F50" s="9"/>
      <c r="G50" s="5"/>
      <c r="H50" s="25"/>
      <c r="I50" s="25"/>
      <c r="J50" s="26">
        <f>Table1216284052647688100112124136[Kosto e parashikuar]-Table1216284052647688100112124136[Kosto faktike]</f>
        <v>0</v>
      </c>
    </row>
    <row r="51" spans="1:10" ht="15.75" customHeight="1" x14ac:dyDescent="0.2">
      <c r="A51" s="4"/>
      <c r="B51" s="24" t="s">
        <v>0</v>
      </c>
      <c r="C51" s="32">
        <f>SUBTOTAL(109,Table617294153657789101113125137[Kosto e parashikuar])</f>
        <v>0</v>
      </c>
      <c r="D51" s="32">
        <f>SUBTOTAL(109,Table617294153657789101113125137[Kosto faktike])</f>
        <v>0</v>
      </c>
      <c r="E51" s="33">
        <f>SUBTOTAL(109,Table617294153657789101113125137[Diferenca])</f>
        <v>0</v>
      </c>
      <c r="F51" s="9"/>
      <c r="G51" s="5"/>
      <c r="H51" s="25"/>
      <c r="I51" s="25"/>
      <c r="J51" s="26">
        <f>Table1216284052647688100112124136[Kosto e parashikuar]-Table1216284052647688100112124136[Kosto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9"/>
      <c r="G52" s="24" t="s">
        <v>0</v>
      </c>
      <c r="H52" s="32">
        <f>SUBTOTAL(109,Table1216284052647688100112124136[Kosto e parashikuar])</f>
        <v>0</v>
      </c>
      <c r="I52" s="32">
        <f>SUBTOTAL(109,Table1216284052647688100112124136[Kosto faktike])</f>
        <v>0</v>
      </c>
      <c r="J52" s="33">
        <f>SUBTOTAL(109,Table1216284052647688100112124136[Diferenca])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9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Table724364860728496108120132144[Kosto e parashikuar]-Table724364860728496108120132144[Kosto faktike]</f>
        <v>0</v>
      </c>
      <c r="F54" s="9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Table724364860728496108120132144[Kosto e parashikuar]-Table724364860728496108120132144[Kosto faktike]</f>
        <v>0</v>
      </c>
      <c r="F55" s="9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Table724364860728496108120132144[Kosto e parashikuar]-Table724364860728496108120132144[Kosto faktike]</f>
        <v>0</v>
      </c>
      <c r="F56" s="9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Table724364860728496108120132144[Kosto e parashikuar]-Table724364860728496108120132144[Kosto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Table724364860728496108120132144[Kosto e parashikuar]-Table724364860728496108120132144[Kosto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SUBTOTAL(109,Table724364860728496108120132144[Kosto e parashikuar])</f>
        <v>0</v>
      </c>
      <c r="D59" s="32">
        <f>SUBTOTAL(109,Table724364860728496108120132144[Kosto faktike])</f>
        <v>0</v>
      </c>
      <c r="E59" s="33">
        <f>SUBTOTAL(109,Table724364860728496108120132144[Diferenca])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G56:I57"/>
    <mergeCell ref="J56:J57"/>
    <mergeCell ref="G58:I59"/>
    <mergeCell ref="J58:J59"/>
    <mergeCell ref="G40:J40"/>
    <mergeCell ref="B44:E44"/>
    <mergeCell ref="G46:J46"/>
    <mergeCell ref="B52:E52"/>
    <mergeCell ref="G53:J53"/>
    <mergeCell ref="G54:I55"/>
    <mergeCell ref="J54:J55"/>
    <mergeCell ref="G18:J18"/>
    <mergeCell ref="B22:E22"/>
    <mergeCell ref="G27:J27"/>
    <mergeCell ref="B32:E32"/>
    <mergeCell ref="G34:J34"/>
    <mergeCell ref="B38:E38"/>
    <mergeCell ref="B7:B9"/>
    <mergeCell ref="C7:D7"/>
    <mergeCell ref="C8:D8"/>
    <mergeCell ref="G8:I9"/>
    <mergeCell ref="J8:J9"/>
    <mergeCell ref="C9:D9"/>
    <mergeCell ref="B2:J2"/>
    <mergeCell ref="B3:D3"/>
    <mergeCell ref="B4:B6"/>
    <mergeCell ref="C4:D4"/>
    <mergeCell ref="G4:I5"/>
    <mergeCell ref="J4:J5"/>
    <mergeCell ref="C5:D5"/>
    <mergeCell ref="C6:D6"/>
    <mergeCell ref="G6:I7"/>
    <mergeCell ref="J6:J7"/>
  </mergeCells>
  <conditionalFormatting sqref="E40:E43 J20:J26 E24:E31 E12:E21 E34:E37 E46:E51 E54:E59 J12:J17 J29:J33 J36:J39 J42:J45 J48:J52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topLeftCell="A16" zoomScale="98" zoomScaleNormal="98" workbookViewId="0">
      <selection activeCell="E31" sqref="E31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29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29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16"/>
      <c r="C10" s="16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Table1[Kosto e parashikuar]-Table1[Kosto faktike]</f>
        <v>100</v>
      </c>
      <c r="F12" s="6"/>
      <c r="G12" s="5" t="s">
        <v>26</v>
      </c>
      <c r="H12" s="25">
        <v>0</v>
      </c>
      <c r="I12" s="25">
        <v>50</v>
      </c>
      <c r="J12" s="26">
        <f>Table2[Kosto e parashikuar]-Table2[Kosto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Table1[Kosto e parashikuar]-Table1[Kosto faktike]</f>
        <v>-40</v>
      </c>
      <c r="F13" s="6"/>
      <c r="G13" s="5" t="s">
        <v>27</v>
      </c>
      <c r="H13" s="25"/>
      <c r="I13" s="25"/>
      <c r="J13" s="26">
        <f>Table2[Kosto e parashikuar]-Table2[Kosto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Table1[Kosto e parashikuar]-Table1[Kosto faktike]</f>
        <v>-10</v>
      </c>
      <c r="F14" s="6"/>
      <c r="G14" s="5" t="s">
        <v>28</v>
      </c>
      <c r="H14" s="25"/>
      <c r="I14" s="25"/>
      <c r="J14" s="26">
        <f>Table2[Kosto e parashikuar]-Table2[Kosto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Table1[Kosto e parashikuar]-Table1[Kosto faktike]</f>
        <v>20</v>
      </c>
      <c r="F15" s="6"/>
      <c r="G15" s="5" t="s">
        <v>29</v>
      </c>
      <c r="H15" s="25"/>
      <c r="I15" s="25"/>
      <c r="J15" s="26">
        <f>Table2[Kosto e parashikuar]-Table2[Kosto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Table1[Kosto e parashikuar]-Table1[Kosto faktike]</f>
        <v>0</v>
      </c>
      <c r="F16" s="6"/>
      <c r="G16" s="5" t="s">
        <v>25</v>
      </c>
      <c r="H16" s="25"/>
      <c r="I16" s="25"/>
      <c r="J16" s="26">
        <f>Table2[Kosto e parashikuar]-Table2[Kosto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Table1[Kosto e parashikuar]-Table1[Kosto faktike]</f>
        <v>0</v>
      </c>
      <c r="F17" s="6"/>
      <c r="G17" s="24" t="s">
        <v>0</v>
      </c>
      <c r="H17" s="31">
        <f>SUBTOTAL(109,Table2[Kosto e parashikuar])</f>
        <v>0</v>
      </c>
      <c r="I17" s="32">
        <f>SUBTOTAL(109,Table2[Kosto faktike])</f>
        <v>50</v>
      </c>
      <c r="J17" s="33">
        <f>SUBTOTAL(109,Table2[Diferenca])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Table1[Kosto e parashikuar]-Table1[Kosto faktike]</f>
        <v>0</v>
      </c>
      <c r="F18" s="6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Table1[Kosto e parashikuar]-Table1[Kosto faktike]</f>
        <v>0</v>
      </c>
      <c r="F19" s="6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Table1[Kosto e parashikuar]-Table1[Kosto faktike]</f>
        <v>0</v>
      </c>
      <c r="F20" s="6"/>
      <c r="G20" s="5" t="s">
        <v>31</v>
      </c>
      <c r="H20" s="25"/>
      <c r="I20" s="25"/>
      <c r="J20" s="26">
        <f>Table8[Kosto e parashikuar]-Table8[Kosto faktike]</f>
        <v>0</v>
      </c>
    </row>
    <row r="21" spans="1:10" ht="15.75" customHeight="1" x14ac:dyDescent="0.2">
      <c r="A21" s="4"/>
      <c r="B21" s="3" t="s">
        <v>0</v>
      </c>
      <c r="C21" s="25">
        <f>SUBTOTAL(109,Table1[Kosto e parashikuar])</f>
        <v>1810</v>
      </c>
      <c r="D21" s="25">
        <f>SUBTOTAL(109,Table1[Kosto faktike])</f>
        <v>1740</v>
      </c>
      <c r="E21" s="27">
        <f>SUBTOTAL(109,Table1[Diferenca])</f>
        <v>70</v>
      </c>
      <c r="F21" s="6"/>
      <c r="G21" s="5" t="s">
        <v>32</v>
      </c>
      <c r="H21" s="25"/>
      <c r="I21" s="25"/>
      <c r="J21" s="26">
        <f>Table8[Kosto e parashikuar]-Table8[Kosto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6"/>
      <c r="G22" s="5" t="s">
        <v>33</v>
      </c>
      <c r="H22" s="25"/>
      <c r="I22" s="25"/>
      <c r="J22" s="26">
        <f>Table8[Kosto e parashikuar]-Table8[Kosto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6"/>
      <c r="G23" s="5" t="s">
        <v>33</v>
      </c>
      <c r="H23" s="25"/>
      <c r="I23" s="25"/>
      <c r="J23" s="26">
        <f>Table8[Kosto e parashikuar]-Table8[Kosto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Table3[Kosto e parashikuar]-Table3[Kosto faktike]</f>
        <v>0</v>
      </c>
      <c r="F24" s="6"/>
      <c r="G24" s="5" t="s">
        <v>33</v>
      </c>
      <c r="H24" s="25"/>
      <c r="I24" s="25"/>
      <c r="J24" s="26">
        <f>Table8[Kosto e parashikuar]-Table8[Kosto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Table3[Kosto e parashikuar]-Table3[Kosto faktike]</f>
        <v>0</v>
      </c>
      <c r="F25" s="6"/>
      <c r="G25" s="5" t="s">
        <v>25</v>
      </c>
      <c r="H25" s="25"/>
      <c r="I25" s="25"/>
      <c r="J25" s="26">
        <f>Table8[Kosto e parashikuar]-Table8[Kosto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Table3[Kosto e parashikuar]-Table3[Kosto faktike]</f>
        <v>0</v>
      </c>
      <c r="F26" s="6"/>
      <c r="G26" s="24" t="s">
        <v>0</v>
      </c>
      <c r="H26" s="32">
        <f>SUBTOTAL(109,Table8[Kosto e parashikuar])</f>
        <v>0</v>
      </c>
      <c r="I26" s="32">
        <f>SUBTOTAL(109,Table8[Kosto faktike])</f>
        <v>0</v>
      </c>
      <c r="J26" s="33">
        <f>SUBTOTAL(109,Table8[Diferenca])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Table3[Kosto e parashikuar]-Table3[Kosto faktike]</f>
        <v>0</v>
      </c>
      <c r="F27" s="6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Table3[Kosto e parashikuar]-Table3[Kosto faktike]</f>
        <v>0</v>
      </c>
      <c r="F28" s="6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Table3[Kosto e parashikuar]-Table3[Kosto faktike]</f>
        <v>0</v>
      </c>
      <c r="F29" s="6"/>
      <c r="G29" s="5" t="s">
        <v>4</v>
      </c>
      <c r="H29" s="25"/>
      <c r="I29" s="25"/>
      <c r="J29" s="26">
        <f>Table9[Kosto e parashikuar]-Table9[Kosto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Table3[Kosto e parashikuar]-Table3[Kosto faktike]</f>
        <v>0</v>
      </c>
      <c r="F30" s="6"/>
      <c r="G30" s="5" t="s">
        <v>3</v>
      </c>
      <c r="H30" s="25"/>
      <c r="I30" s="25"/>
      <c r="J30" s="26">
        <f>Table9[Kosto e parashikuar]-Table9[Kosto faktike]</f>
        <v>0</v>
      </c>
    </row>
    <row r="31" spans="1:10" ht="15.75" customHeight="1" x14ac:dyDescent="0.2">
      <c r="A31" s="4"/>
      <c r="B31" s="24" t="s">
        <v>0</v>
      </c>
      <c r="C31" s="32">
        <f>SUBTOTAL(109,Table3[Kosto e parashikuar])</f>
        <v>250</v>
      </c>
      <c r="D31" s="32">
        <f>SUBTOTAL(109,Table3[Kosto faktike])</f>
        <v>250</v>
      </c>
      <c r="E31" s="33">
        <f>SUBTOTAL(109,Table3[Diferenca])</f>
        <v>0</v>
      </c>
      <c r="F31" s="6"/>
      <c r="G31" s="5" t="s">
        <v>2</v>
      </c>
      <c r="H31" s="25"/>
      <c r="I31" s="25"/>
      <c r="J31" s="26">
        <f>Table9[Kosto e parashikuar]-Table9[Kosto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6"/>
      <c r="G32" s="5" t="s">
        <v>1</v>
      </c>
      <c r="H32" s="25"/>
      <c r="I32" s="25"/>
      <c r="J32" s="26">
        <f>Table9[Kosto e parashikuar]-Table9[Kosto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6"/>
      <c r="G33" s="24" t="s">
        <v>0</v>
      </c>
      <c r="H33" s="32">
        <f>SUBTOTAL(109,Table9[Kosto e parashikuar])</f>
        <v>0</v>
      </c>
      <c r="I33" s="32">
        <f>SUBTOTAL(109,Table9[Kosto faktike])</f>
        <v>0</v>
      </c>
      <c r="J33" s="33">
        <f>SUBTOTAL(109,Table9[Diferenca])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Table4[Kosto e parashikuar]-Table4[Kosto faktike]</f>
        <v>0</v>
      </c>
      <c r="F34" s="6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Table4[Kosto e parashikuar]-Table4[Kosto faktike]</f>
        <v>0</v>
      </c>
      <c r="F35" s="6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Table4[Kosto e parashikuar]-Table4[Kosto faktike]</f>
        <v>0</v>
      </c>
      <c r="F36" s="6"/>
      <c r="G36" s="5" t="s">
        <v>43</v>
      </c>
      <c r="H36" s="25"/>
      <c r="I36" s="25"/>
      <c r="J36" s="26">
        <f>Table10[Kosto e parashikuar]-Table10[Kosto faktike]</f>
        <v>0</v>
      </c>
    </row>
    <row r="37" spans="1:10" ht="15.75" customHeight="1" x14ac:dyDescent="0.2">
      <c r="A37" s="4"/>
      <c r="B37" s="24" t="s">
        <v>0</v>
      </c>
      <c r="C37" s="32">
        <f>SUBTOTAL(109,Table4[Kosto e parashikuar])</f>
        <v>0</v>
      </c>
      <c r="D37" s="32">
        <f>SUBTOTAL(109,Table4[Kosto faktike])</f>
        <v>0</v>
      </c>
      <c r="E37" s="33">
        <f>SUBTOTAL(109,Table4[Diferenca])</f>
        <v>0</v>
      </c>
      <c r="F37" s="6"/>
      <c r="G37" s="5" t="s">
        <v>42</v>
      </c>
      <c r="H37" s="25"/>
      <c r="I37" s="25"/>
      <c r="J37" s="26">
        <f>Table10[Kosto e parashikuar]-Table10[Kosto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6"/>
      <c r="G38" s="5" t="s">
        <v>25</v>
      </c>
      <c r="H38" s="25"/>
      <c r="I38" s="25"/>
      <c r="J38" s="26">
        <f>Table10[Kosto e parashikuar]-Table10[Kosto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6"/>
      <c r="G39" s="24" t="s">
        <v>0</v>
      </c>
      <c r="H39" s="32">
        <f>SUBTOTAL(109,Table10[Kosto e parashikuar])</f>
        <v>0</v>
      </c>
      <c r="I39" s="32">
        <f>SUBTOTAL(109,Table10[Kosto faktike])</f>
        <v>0</v>
      </c>
      <c r="J39" s="33">
        <f>SUBTOTAL(109,Table10[Diferenca])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Table5[Kosto e parashikuar]-Table5[Kosto faktike]</f>
        <v>0</v>
      </c>
      <c r="F40" s="6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Table5[Kosto e parashikuar]-Table5[Kosto faktike]</f>
        <v>0</v>
      </c>
      <c r="F41" s="6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Table5[Kosto e parashikuar]-Table5[Kosto faktike]</f>
        <v>0</v>
      </c>
      <c r="F42" s="6"/>
      <c r="G42" s="5"/>
      <c r="H42" s="25"/>
      <c r="I42" s="25"/>
      <c r="J42" s="26">
        <f>Table11[Kosto e parashikuar]-Table11[Kosto faktike]</f>
        <v>0</v>
      </c>
    </row>
    <row r="43" spans="1:10" ht="15.75" customHeight="1" x14ac:dyDescent="0.2">
      <c r="A43" s="4"/>
      <c r="B43" s="24" t="s">
        <v>0</v>
      </c>
      <c r="C43" s="32">
        <f>SUBTOTAL(109,Table5[Kosto e parashikuar])</f>
        <v>0</v>
      </c>
      <c r="D43" s="32">
        <f>SUBTOTAL(109,Table5[Kosto faktike])</f>
        <v>0</v>
      </c>
      <c r="E43" s="33">
        <f>SUBTOTAL(109,Table5[Diferenca])</f>
        <v>0</v>
      </c>
      <c r="F43" s="6"/>
      <c r="G43" s="5"/>
      <c r="H43" s="25"/>
      <c r="I43" s="25"/>
      <c r="J43" s="26">
        <f>Table11[Kosto e parashikuar]-Table11[Kosto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6"/>
      <c r="G44" s="5"/>
      <c r="H44" s="25"/>
      <c r="I44" s="25"/>
      <c r="J44" s="26">
        <f>Table11[Kosto e parashikuar]-Table11[Kosto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6"/>
      <c r="G45" s="24" t="s">
        <v>0</v>
      </c>
      <c r="H45" s="32">
        <f>SUBTOTAL(109,Table11[Kosto e parashikuar])</f>
        <v>0</v>
      </c>
      <c r="I45" s="32">
        <f>SUBTOTAL(109,Table11[Kosto faktike])</f>
        <v>0</v>
      </c>
      <c r="J45" s="33">
        <f>SUBTOTAL(109,Table11[Diferenca])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Table6[Kosto e parashikuar]-Table6[Kosto faktike]</f>
        <v>0</v>
      </c>
      <c r="F46" s="6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Table6[Kosto e parashikuar]-Table6[Kosto faktike]</f>
        <v>0</v>
      </c>
      <c r="F47" s="6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Table6[Kosto e parashikuar]-Table6[Kosto faktike]</f>
        <v>0</v>
      </c>
      <c r="F48" s="6"/>
      <c r="G48" s="5"/>
      <c r="H48" s="25"/>
      <c r="I48" s="25"/>
      <c r="J48" s="26">
        <f>Table12[Kosto e parashikuar]-Table12[Kosto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Table6[Kosto e parashikuar]-Table6[Kosto faktike]</f>
        <v>0</v>
      </c>
      <c r="F49" s="6"/>
      <c r="G49" s="5"/>
      <c r="H49" s="25"/>
      <c r="I49" s="25"/>
      <c r="J49" s="26">
        <f>Table12[Kosto e parashikuar]-Table12[Kosto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Table6[Kosto e parashikuar]-Table6[Kosto faktike]</f>
        <v>0</v>
      </c>
      <c r="F50" s="6"/>
      <c r="G50" s="5"/>
      <c r="H50" s="25"/>
      <c r="I50" s="25"/>
      <c r="J50" s="26">
        <f>Table12[Kosto e parashikuar]-Table12[Kosto faktike]</f>
        <v>0</v>
      </c>
    </row>
    <row r="51" spans="1:10" ht="15.75" customHeight="1" x14ac:dyDescent="0.2">
      <c r="A51" s="4"/>
      <c r="B51" s="24" t="s">
        <v>0</v>
      </c>
      <c r="C51" s="32">
        <f>SUBTOTAL(109,Table6[Kosto e parashikuar])</f>
        <v>0</v>
      </c>
      <c r="D51" s="32">
        <f>SUBTOTAL(109,Table6[Kosto faktike])</f>
        <v>0</v>
      </c>
      <c r="E51" s="33">
        <f>SUBTOTAL(109,Table6[Diferenca])</f>
        <v>0</v>
      </c>
      <c r="F51" s="6"/>
      <c r="G51" s="5"/>
      <c r="H51" s="25"/>
      <c r="I51" s="25"/>
      <c r="J51" s="26">
        <f>Table12[Kosto e parashikuar]-Table12[Kosto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6"/>
      <c r="G52" s="24" t="s">
        <v>0</v>
      </c>
      <c r="H52" s="32">
        <f>SUBTOTAL(109,Table12[Kosto e parashikuar])</f>
        <v>0</v>
      </c>
      <c r="I52" s="32">
        <f>SUBTOTAL(109,Table12[Kosto faktike])</f>
        <v>0</v>
      </c>
      <c r="J52" s="33">
        <f>SUBTOTAL(109,Table12[Diferenca])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6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Table7[Kosto e parashikuar]-Table7[Kosto faktike]</f>
        <v>0</v>
      </c>
      <c r="F54" s="6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Table7[Kosto e parashikuar]-Table7[Kosto faktike]</f>
        <v>0</v>
      </c>
      <c r="F55" s="6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Table7[Kosto e parashikuar]-Table7[Kosto faktike]</f>
        <v>0</v>
      </c>
      <c r="F56" s="6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Table7[Kosto e parashikuar]-Table7[Kosto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Table7[Kosto e parashikuar]-Table7[Kosto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SUBTOTAL(109,Table7[Kosto e parashikuar])</f>
        <v>0</v>
      </c>
      <c r="D59" s="32">
        <f>SUBTOTAL(109,Table7[Kosto faktike])</f>
        <v>0</v>
      </c>
      <c r="E59" s="33">
        <f>SUBTOTAL(109,Table7[Diferenca])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C5:D5"/>
    <mergeCell ref="J58:J59"/>
    <mergeCell ref="G58:I59"/>
    <mergeCell ref="J56:J57"/>
    <mergeCell ref="G56:I57"/>
    <mergeCell ref="G54:I55"/>
    <mergeCell ref="J54:J55"/>
    <mergeCell ref="G53:J53"/>
    <mergeCell ref="B2:J2"/>
    <mergeCell ref="G8:I9"/>
    <mergeCell ref="J8:J9"/>
    <mergeCell ref="C6:D6"/>
    <mergeCell ref="J4:J5"/>
    <mergeCell ref="C7:D7"/>
    <mergeCell ref="C8:D8"/>
    <mergeCell ref="C9:D9"/>
    <mergeCell ref="B7:B9"/>
    <mergeCell ref="B4:B6"/>
    <mergeCell ref="B3:D3"/>
    <mergeCell ref="G6:I7"/>
    <mergeCell ref="G4:I5"/>
    <mergeCell ref="J6:J7"/>
    <mergeCell ref="C4:D4"/>
    <mergeCell ref="B52:E52"/>
    <mergeCell ref="G18:J18"/>
    <mergeCell ref="G27:J27"/>
    <mergeCell ref="G34:J34"/>
    <mergeCell ref="G40:J40"/>
    <mergeCell ref="G46:J46"/>
    <mergeCell ref="B22:E22"/>
    <mergeCell ref="B32:E32"/>
    <mergeCell ref="B38:E38"/>
    <mergeCell ref="B44:E44"/>
  </mergeCells>
  <conditionalFormatting sqref="E40:E43 J20:J26 E24:E31 E12:E21 E34:E37 E46:E51 E54:E59 J12:J17 J29:J33 J36:J39 J42:J45 J48:J52">
    <cfRule type="iconSet" priority="2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zoomScale="98" zoomScaleNormal="98" workbookViewId="0">
      <selection activeCell="D35" sqref="D35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30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30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21"/>
      <c r="C10" s="21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Table114[Kosto e parashikuar]-Table114[Kosto faktike]</f>
        <v>100</v>
      </c>
      <c r="F12" s="9"/>
      <c r="G12" s="5" t="s">
        <v>26</v>
      </c>
      <c r="H12" s="25">
        <v>0</v>
      </c>
      <c r="I12" s="25">
        <v>50</v>
      </c>
      <c r="J12" s="26">
        <f>Table225[Kosto e parashikuar]-Table225[Kosto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Table114[Kosto e parashikuar]-Table114[Kosto faktike]</f>
        <v>-40</v>
      </c>
      <c r="F13" s="9"/>
      <c r="G13" s="5" t="s">
        <v>27</v>
      </c>
      <c r="H13" s="25"/>
      <c r="I13" s="25"/>
      <c r="J13" s="26">
        <f>Table225[Kosto e parashikuar]-Table225[Kosto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Table114[Kosto e parashikuar]-Table114[Kosto faktike]</f>
        <v>-10</v>
      </c>
      <c r="F14" s="9"/>
      <c r="G14" s="5" t="s">
        <v>28</v>
      </c>
      <c r="H14" s="25"/>
      <c r="I14" s="25"/>
      <c r="J14" s="26">
        <f>Table225[Kosto e parashikuar]-Table225[Kosto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Table114[Kosto e parashikuar]-Table114[Kosto faktike]</f>
        <v>20</v>
      </c>
      <c r="F15" s="9"/>
      <c r="G15" s="5" t="s">
        <v>29</v>
      </c>
      <c r="H15" s="25"/>
      <c r="I15" s="25"/>
      <c r="J15" s="26">
        <f>Table225[Kosto e parashikuar]-Table225[Kosto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Table114[Kosto e parashikuar]-Table114[Kosto faktike]</f>
        <v>0</v>
      </c>
      <c r="F16" s="9"/>
      <c r="G16" s="5" t="s">
        <v>25</v>
      </c>
      <c r="H16" s="25"/>
      <c r="I16" s="25"/>
      <c r="J16" s="26">
        <f>Table225[Kosto e parashikuar]-Table225[Kosto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Table114[Kosto e parashikuar]-Table114[Kosto faktike]</f>
        <v>0</v>
      </c>
      <c r="F17" s="9"/>
      <c r="G17" s="24" t="s">
        <v>0</v>
      </c>
      <c r="H17" s="31">
        <f>SUBTOTAL(109,Table225[Kosto e parashikuar])</f>
        <v>0</v>
      </c>
      <c r="I17" s="32">
        <f>SUBTOTAL(109,Table225[Kosto faktike])</f>
        <v>50</v>
      </c>
      <c r="J17" s="33">
        <f>SUBTOTAL(109,Table225[Diferenca])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Table114[Kosto e parashikuar]-Table114[Kosto faktike]</f>
        <v>0</v>
      </c>
      <c r="F18" s="9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Table114[Kosto e parashikuar]-Table114[Kosto faktike]</f>
        <v>0</v>
      </c>
      <c r="F19" s="9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Table114[Kosto e parashikuar]-Table114[Kosto faktike]</f>
        <v>0</v>
      </c>
      <c r="F20" s="9"/>
      <c r="G20" s="5" t="s">
        <v>31</v>
      </c>
      <c r="H20" s="25"/>
      <c r="I20" s="25"/>
      <c r="J20" s="26">
        <f>Table822[Kosto e parashikuar]-Table822[Kosto faktike]</f>
        <v>0</v>
      </c>
    </row>
    <row r="21" spans="1:10" ht="15.75" customHeight="1" x14ac:dyDescent="0.2">
      <c r="A21" s="4"/>
      <c r="B21" s="3" t="s">
        <v>0</v>
      </c>
      <c r="C21" s="25">
        <f>SUBTOTAL(109,Table114[Kosto e parashikuar])</f>
        <v>1810</v>
      </c>
      <c r="D21" s="25">
        <f>SUBTOTAL(109,Table114[Kosto faktike])</f>
        <v>1740</v>
      </c>
      <c r="E21" s="27">
        <f>SUBTOTAL(109,Table114[Diferenca])</f>
        <v>70</v>
      </c>
      <c r="F21" s="9"/>
      <c r="G21" s="5" t="s">
        <v>32</v>
      </c>
      <c r="H21" s="25"/>
      <c r="I21" s="25"/>
      <c r="J21" s="26">
        <f>Table822[Kosto e parashikuar]-Table822[Kosto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9"/>
      <c r="G22" s="5" t="s">
        <v>33</v>
      </c>
      <c r="H22" s="25"/>
      <c r="I22" s="25"/>
      <c r="J22" s="26">
        <f>Table822[Kosto e parashikuar]-Table822[Kosto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9"/>
      <c r="G23" s="5" t="s">
        <v>33</v>
      </c>
      <c r="H23" s="25"/>
      <c r="I23" s="25"/>
      <c r="J23" s="26">
        <f>Table822[Kosto e parashikuar]-Table822[Kosto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Table321[Kosto e parashikuar]-Table321[Kosto faktike]</f>
        <v>0</v>
      </c>
      <c r="F24" s="9"/>
      <c r="G24" s="5" t="s">
        <v>33</v>
      </c>
      <c r="H24" s="25"/>
      <c r="I24" s="25"/>
      <c r="J24" s="26">
        <f>Table822[Kosto e parashikuar]-Table822[Kosto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Table321[Kosto e parashikuar]-Table321[Kosto faktike]</f>
        <v>0</v>
      </c>
      <c r="F25" s="9"/>
      <c r="G25" s="5" t="s">
        <v>25</v>
      </c>
      <c r="H25" s="25"/>
      <c r="I25" s="25"/>
      <c r="J25" s="26">
        <f>Table822[Kosto e parashikuar]-Table822[Kosto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Table321[Kosto e parashikuar]-Table321[Kosto faktike]</f>
        <v>0</v>
      </c>
      <c r="F26" s="9"/>
      <c r="G26" s="24" t="s">
        <v>0</v>
      </c>
      <c r="H26" s="32">
        <f>SUBTOTAL(109,Table822[Kosto e parashikuar])</f>
        <v>0</v>
      </c>
      <c r="I26" s="32">
        <f>SUBTOTAL(109,Table822[Kosto faktike])</f>
        <v>0</v>
      </c>
      <c r="J26" s="33">
        <f>SUBTOTAL(109,Table822[Diferenca])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Table321[Kosto e parashikuar]-Table321[Kosto faktike]</f>
        <v>0</v>
      </c>
      <c r="F27" s="9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Table321[Kosto e parashikuar]-Table321[Kosto faktike]</f>
        <v>0</v>
      </c>
      <c r="F28" s="9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Table321[Kosto e parashikuar]-Table321[Kosto faktike]</f>
        <v>0</v>
      </c>
      <c r="F29" s="9"/>
      <c r="G29" s="5" t="s">
        <v>4</v>
      </c>
      <c r="H29" s="25"/>
      <c r="I29" s="25"/>
      <c r="J29" s="26">
        <f>Table920[Kosto e parashikuar]-Table920[Kosto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Table321[Kosto e parashikuar]-Table321[Kosto faktike]</f>
        <v>0</v>
      </c>
      <c r="F30" s="9"/>
      <c r="G30" s="5" t="s">
        <v>3</v>
      </c>
      <c r="H30" s="25"/>
      <c r="I30" s="25"/>
      <c r="J30" s="26">
        <f>Table920[Kosto e parashikuar]-Table920[Kosto faktike]</f>
        <v>0</v>
      </c>
    </row>
    <row r="31" spans="1:10" ht="15.75" customHeight="1" x14ac:dyDescent="0.2">
      <c r="A31" s="4"/>
      <c r="B31" s="24" t="s">
        <v>0</v>
      </c>
      <c r="C31" s="32">
        <f>SUBTOTAL(109,Table321[Kosto e parashikuar])</f>
        <v>250</v>
      </c>
      <c r="D31" s="32">
        <f>SUBTOTAL(109,Table321[Kosto faktike])</f>
        <v>250</v>
      </c>
      <c r="E31" s="33">
        <f>SUBTOTAL(109,Table321[Diferenca])</f>
        <v>0</v>
      </c>
      <c r="F31" s="9"/>
      <c r="G31" s="5" t="s">
        <v>2</v>
      </c>
      <c r="H31" s="25"/>
      <c r="I31" s="25"/>
      <c r="J31" s="26">
        <f>Table920[Kosto e parashikuar]-Table920[Kosto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9"/>
      <c r="G32" s="5" t="s">
        <v>1</v>
      </c>
      <c r="H32" s="25"/>
      <c r="I32" s="25"/>
      <c r="J32" s="26">
        <f>Table920[Kosto e parashikuar]-Table920[Kosto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9"/>
      <c r="G33" s="24" t="s">
        <v>0</v>
      </c>
      <c r="H33" s="32">
        <f>SUBTOTAL(109,Table920[Kosto e parashikuar])</f>
        <v>0</v>
      </c>
      <c r="I33" s="32">
        <f>SUBTOTAL(109,Table920[Kosto faktike])</f>
        <v>0</v>
      </c>
      <c r="J33" s="33">
        <f>SUBTOTAL(109,Table920[Diferenca])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Table415[Kosto e parashikuar]-Table415[Kosto faktike]</f>
        <v>0</v>
      </c>
      <c r="F34" s="9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Table415[Kosto e parashikuar]-Table415[Kosto faktike]</f>
        <v>0</v>
      </c>
      <c r="F35" s="9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Table415[Kosto e parashikuar]-Table415[Kosto faktike]</f>
        <v>0</v>
      </c>
      <c r="F36" s="9"/>
      <c r="G36" s="5" t="s">
        <v>43</v>
      </c>
      <c r="H36" s="25"/>
      <c r="I36" s="25"/>
      <c r="J36" s="26">
        <f>Table1023[Kosto e parashikuar]-Table1023[Kosto faktike]</f>
        <v>0</v>
      </c>
    </row>
    <row r="37" spans="1:10" ht="15.75" customHeight="1" x14ac:dyDescent="0.2">
      <c r="A37" s="4"/>
      <c r="B37" s="24" t="s">
        <v>0</v>
      </c>
      <c r="C37" s="32">
        <f>SUBTOTAL(109,Table415[Kosto e parashikuar])</f>
        <v>0</v>
      </c>
      <c r="D37" s="32">
        <f>SUBTOTAL(109,Table415[Kosto faktike])</f>
        <v>0</v>
      </c>
      <c r="E37" s="33">
        <f>SUBTOTAL(109,Table415[Diferenca])</f>
        <v>0</v>
      </c>
      <c r="F37" s="9"/>
      <c r="G37" s="5" t="s">
        <v>42</v>
      </c>
      <c r="H37" s="25"/>
      <c r="I37" s="25"/>
      <c r="J37" s="26">
        <f>Table1023[Kosto e parashikuar]-Table1023[Kosto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9"/>
      <c r="G38" s="5" t="s">
        <v>25</v>
      </c>
      <c r="H38" s="25"/>
      <c r="I38" s="25"/>
      <c r="J38" s="26">
        <f>Table1023[Kosto e parashikuar]-Table1023[Kosto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9"/>
      <c r="G39" s="24" t="s">
        <v>0</v>
      </c>
      <c r="H39" s="32">
        <f>SUBTOTAL(109,Table1023[Kosto e parashikuar])</f>
        <v>0</v>
      </c>
      <c r="I39" s="32">
        <f>SUBTOTAL(109,Table1023[Kosto faktike])</f>
        <v>0</v>
      </c>
      <c r="J39" s="33">
        <f>SUBTOTAL(109,Table1023[Diferenca])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Table519[Kosto e parashikuar]-Table519[Kosto faktike]</f>
        <v>0</v>
      </c>
      <c r="F40" s="9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Table519[Kosto e parashikuar]-Table519[Kosto faktike]</f>
        <v>0</v>
      </c>
      <c r="F41" s="9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Table519[Kosto e parashikuar]-Table519[Kosto faktike]</f>
        <v>0</v>
      </c>
      <c r="F42" s="9"/>
      <c r="G42" s="5"/>
      <c r="H42" s="25"/>
      <c r="I42" s="25"/>
      <c r="J42" s="26">
        <f>Table1118[Kosto e parashikuar]-Table1118[Kosto faktike]</f>
        <v>0</v>
      </c>
    </row>
    <row r="43" spans="1:10" ht="15.75" customHeight="1" x14ac:dyDescent="0.2">
      <c r="A43" s="4"/>
      <c r="B43" s="24" t="s">
        <v>0</v>
      </c>
      <c r="C43" s="32">
        <f>SUBTOTAL(109,Table519[Kosto e parashikuar])</f>
        <v>0</v>
      </c>
      <c r="D43" s="32">
        <f>SUBTOTAL(109,Table519[Kosto faktike])</f>
        <v>0</v>
      </c>
      <c r="E43" s="33">
        <f>SUBTOTAL(109,Table519[Diferenca])</f>
        <v>0</v>
      </c>
      <c r="F43" s="9"/>
      <c r="G43" s="5"/>
      <c r="H43" s="25"/>
      <c r="I43" s="25"/>
      <c r="J43" s="26">
        <f>Table1118[Kosto e parashikuar]-Table1118[Kosto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9"/>
      <c r="G44" s="5"/>
      <c r="H44" s="25"/>
      <c r="I44" s="25"/>
      <c r="J44" s="26">
        <f>Table1118[Kosto e parashikuar]-Table1118[Kosto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9"/>
      <c r="G45" s="24" t="s">
        <v>0</v>
      </c>
      <c r="H45" s="32">
        <f>SUBTOTAL(109,Table1118[Kosto e parashikuar])</f>
        <v>0</v>
      </c>
      <c r="I45" s="32">
        <f>SUBTOTAL(109,Table1118[Kosto faktike])</f>
        <v>0</v>
      </c>
      <c r="J45" s="33">
        <f>SUBTOTAL(109,Table1118[Diferenca])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Table617[Kosto e parashikuar]-Table617[Kosto faktike]</f>
        <v>0</v>
      </c>
      <c r="F46" s="9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Table617[Kosto e parashikuar]-Table617[Kosto faktike]</f>
        <v>0</v>
      </c>
      <c r="F47" s="9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Table617[Kosto e parashikuar]-Table617[Kosto faktike]</f>
        <v>0</v>
      </c>
      <c r="F48" s="9"/>
      <c r="G48" s="5"/>
      <c r="H48" s="25"/>
      <c r="I48" s="25"/>
      <c r="J48" s="26">
        <f>Table1216[Kosto e parashikuar]-Table1216[Kosto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Table617[Kosto e parashikuar]-Table617[Kosto faktike]</f>
        <v>0</v>
      </c>
      <c r="F49" s="9"/>
      <c r="G49" s="5"/>
      <c r="H49" s="25"/>
      <c r="I49" s="25"/>
      <c r="J49" s="26">
        <f>Table1216[Kosto e parashikuar]-Table1216[Kosto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Table617[Kosto e parashikuar]-Table617[Kosto faktike]</f>
        <v>0</v>
      </c>
      <c r="F50" s="9"/>
      <c r="G50" s="5"/>
      <c r="H50" s="25"/>
      <c r="I50" s="25"/>
      <c r="J50" s="26">
        <f>Table1216[Kosto e parashikuar]-Table1216[Kosto faktike]</f>
        <v>0</v>
      </c>
    </row>
    <row r="51" spans="1:10" ht="15.75" customHeight="1" x14ac:dyDescent="0.2">
      <c r="A51" s="4"/>
      <c r="B51" s="24" t="s">
        <v>0</v>
      </c>
      <c r="C51" s="32">
        <f>SUBTOTAL(109,Table617[Kosto e parashikuar])</f>
        <v>0</v>
      </c>
      <c r="D51" s="32">
        <f>SUBTOTAL(109,Table617[Kosto faktike])</f>
        <v>0</v>
      </c>
      <c r="E51" s="33">
        <f>SUBTOTAL(109,Table617[Diferenca])</f>
        <v>0</v>
      </c>
      <c r="F51" s="9"/>
      <c r="G51" s="5"/>
      <c r="H51" s="25"/>
      <c r="I51" s="25"/>
      <c r="J51" s="26">
        <f>Table1216[Kosto e parashikuar]-Table1216[Kosto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9"/>
      <c r="G52" s="24" t="s">
        <v>0</v>
      </c>
      <c r="H52" s="32">
        <f>SUBTOTAL(109,Table1216[Kosto e parashikuar])</f>
        <v>0</v>
      </c>
      <c r="I52" s="32">
        <f>SUBTOTAL(109,Table1216[Kosto faktike])</f>
        <v>0</v>
      </c>
      <c r="J52" s="33">
        <f>SUBTOTAL(109,Table1216[Diferenca])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9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Table724[Kosto e parashikuar]-Table724[Kosto faktike]</f>
        <v>0</v>
      </c>
      <c r="F54" s="9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Table724[Kosto e parashikuar]-Table724[Kosto faktike]</f>
        <v>0</v>
      </c>
      <c r="F55" s="9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Table724[Kosto e parashikuar]-Table724[Kosto faktike]</f>
        <v>0</v>
      </c>
      <c r="F56" s="9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Table724[Kosto e parashikuar]-Table724[Kosto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Table724[Kosto e parashikuar]-Table724[Kosto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SUBTOTAL(109,Table724[Kosto e parashikuar])</f>
        <v>0</v>
      </c>
      <c r="D59" s="32">
        <f>SUBTOTAL(109,Table724[Kosto faktike])</f>
        <v>0</v>
      </c>
      <c r="E59" s="33">
        <f>SUBTOTAL(109,Table724[Diferenca])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G56:I57"/>
    <mergeCell ref="J56:J57"/>
    <mergeCell ref="G58:I59"/>
    <mergeCell ref="J58:J59"/>
    <mergeCell ref="G40:J40"/>
    <mergeCell ref="B44:E44"/>
    <mergeCell ref="G46:J46"/>
    <mergeCell ref="B52:E52"/>
    <mergeCell ref="G53:J53"/>
    <mergeCell ref="G54:I55"/>
    <mergeCell ref="J54:J55"/>
    <mergeCell ref="G18:J18"/>
    <mergeCell ref="B22:E22"/>
    <mergeCell ref="G27:J27"/>
    <mergeCell ref="B32:E32"/>
    <mergeCell ref="G34:J34"/>
    <mergeCell ref="B38:E38"/>
    <mergeCell ref="B7:B9"/>
    <mergeCell ref="C7:D7"/>
    <mergeCell ref="C8:D8"/>
    <mergeCell ref="G8:I9"/>
    <mergeCell ref="J8:J9"/>
    <mergeCell ref="C9:D9"/>
    <mergeCell ref="B2:J2"/>
    <mergeCell ref="B3:D3"/>
    <mergeCell ref="B4:B6"/>
    <mergeCell ref="C4:D4"/>
    <mergeCell ref="G4:I5"/>
    <mergeCell ref="J4:J5"/>
    <mergeCell ref="C5:D5"/>
    <mergeCell ref="C6:D6"/>
    <mergeCell ref="G6:I7"/>
    <mergeCell ref="J6:J7"/>
  </mergeCells>
  <conditionalFormatting sqref="E40:E43 J20:J26 E24:E31 E12:E21 E34:E37 E46:E51 E54:E59 J12:J17 J29:J33 J36:J39 J42:J45 J48:J52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zoomScale="98" zoomScaleNormal="98" workbookViewId="0">
      <selection activeCell="D35" sqref="D35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30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30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21"/>
      <c r="C10" s="21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Table11426[Kosto e parashikuar]-Table11426[Kosto faktike]</f>
        <v>100</v>
      </c>
      <c r="F12" s="9"/>
      <c r="G12" s="5" t="s">
        <v>26</v>
      </c>
      <c r="H12" s="25">
        <v>0</v>
      </c>
      <c r="I12" s="25">
        <v>50</v>
      </c>
      <c r="J12" s="26">
        <f>Table22537[Kosto e parashikuar]-Table22537[Kosto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Table11426[Kosto e parashikuar]-Table11426[Kosto faktike]</f>
        <v>-40</v>
      </c>
      <c r="F13" s="9"/>
      <c r="G13" s="5" t="s">
        <v>27</v>
      </c>
      <c r="H13" s="25"/>
      <c r="I13" s="25"/>
      <c r="J13" s="26">
        <f>Table22537[Kosto e parashikuar]-Table22537[Kosto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Table11426[Kosto e parashikuar]-Table11426[Kosto faktike]</f>
        <v>-10</v>
      </c>
      <c r="F14" s="9"/>
      <c r="G14" s="5" t="s">
        <v>28</v>
      </c>
      <c r="H14" s="25"/>
      <c r="I14" s="25"/>
      <c r="J14" s="26">
        <f>Table22537[Kosto e parashikuar]-Table22537[Kosto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Table11426[Kosto e parashikuar]-Table11426[Kosto faktike]</f>
        <v>20</v>
      </c>
      <c r="F15" s="9"/>
      <c r="G15" s="5" t="s">
        <v>29</v>
      </c>
      <c r="H15" s="25"/>
      <c r="I15" s="25"/>
      <c r="J15" s="26">
        <f>Table22537[Kosto e parashikuar]-Table22537[Kosto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Table11426[Kosto e parashikuar]-Table11426[Kosto faktike]</f>
        <v>0</v>
      </c>
      <c r="F16" s="9"/>
      <c r="G16" s="5" t="s">
        <v>25</v>
      </c>
      <c r="H16" s="25"/>
      <c r="I16" s="25"/>
      <c r="J16" s="26">
        <f>Table22537[Kosto e parashikuar]-Table22537[Kosto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Table11426[Kosto e parashikuar]-Table11426[Kosto faktike]</f>
        <v>0</v>
      </c>
      <c r="F17" s="9"/>
      <c r="G17" s="24" t="s">
        <v>0</v>
      </c>
      <c r="H17" s="31">
        <f>SUBTOTAL(109,Table22537[Kosto e parashikuar])</f>
        <v>0</v>
      </c>
      <c r="I17" s="32">
        <f>SUBTOTAL(109,Table22537[Kosto faktike])</f>
        <v>50</v>
      </c>
      <c r="J17" s="33">
        <f>SUBTOTAL(109,Table22537[Diferenca])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Table11426[Kosto e parashikuar]-Table11426[Kosto faktike]</f>
        <v>0</v>
      </c>
      <c r="F18" s="9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Table11426[Kosto e parashikuar]-Table11426[Kosto faktike]</f>
        <v>0</v>
      </c>
      <c r="F19" s="9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Table11426[Kosto e parashikuar]-Table11426[Kosto faktike]</f>
        <v>0</v>
      </c>
      <c r="F20" s="9"/>
      <c r="G20" s="5" t="s">
        <v>31</v>
      </c>
      <c r="H20" s="25"/>
      <c r="I20" s="25"/>
      <c r="J20" s="26">
        <f>Table82234[Kosto e parashikuar]-Table82234[Kosto faktike]</f>
        <v>0</v>
      </c>
    </row>
    <row r="21" spans="1:10" ht="15.75" customHeight="1" x14ac:dyDescent="0.2">
      <c r="A21" s="4"/>
      <c r="B21" s="3" t="s">
        <v>0</v>
      </c>
      <c r="C21" s="25">
        <f>SUBTOTAL(109,Table11426[Kosto e parashikuar])</f>
        <v>1810</v>
      </c>
      <c r="D21" s="25">
        <f>SUBTOTAL(109,Table11426[Kosto faktike])</f>
        <v>1740</v>
      </c>
      <c r="E21" s="27">
        <f>SUBTOTAL(109,Table11426[Diferenca])</f>
        <v>70</v>
      </c>
      <c r="F21" s="9"/>
      <c r="G21" s="5" t="s">
        <v>32</v>
      </c>
      <c r="H21" s="25"/>
      <c r="I21" s="25"/>
      <c r="J21" s="26">
        <f>Table82234[Kosto e parashikuar]-Table82234[Kosto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9"/>
      <c r="G22" s="5" t="s">
        <v>33</v>
      </c>
      <c r="H22" s="25"/>
      <c r="I22" s="25"/>
      <c r="J22" s="26">
        <f>Table82234[Kosto e parashikuar]-Table82234[Kosto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9"/>
      <c r="G23" s="5" t="s">
        <v>33</v>
      </c>
      <c r="H23" s="25"/>
      <c r="I23" s="25"/>
      <c r="J23" s="26">
        <f>Table82234[Kosto e parashikuar]-Table82234[Kosto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Table32133[Kosto e parashikuar]-Table32133[Kosto faktike]</f>
        <v>0</v>
      </c>
      <c r="F24" s="9"/>
      <c r="G24" s="5" t="s">
        <v>33</v>
      </c>
      <c r="H24" s="25"/>
      <c r="I24" s="25"/>
      <c r="J24" s="26">
        <f>Table82234[Kosto e parashikuar]-Table82234[Kosto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Table32133[Kosto e parashikuar]-Table32133[Kosto faktike]</f>
        <v>0</v>
      </c>
      <c r="F25" s="9"/>
      <c r="G25" s="5" t="s">
        <v>25</v>
      </c>
      <c r="H25" s="25"/>
      <c r="I25" s="25"/>
      <c r="J25" s="26">
        <f>Table82234[Kosto e parashikuar]-Table82234[Kosto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Table32133[Kosto e parashikuar]-Table32133[Kosto faktike]</f>
        <v>0</v>
      </c>
      <c r="F26" s="9"/>
      <c r="G26" s="24" t="s">
        <v>0</v>
      </c>
      <c r="H26" s="32">
        <f>SUBTOTAL(109,Table82234[Kosto e parashikuar])</f>
        <v>0</v>
      </c>
      <c r="I26" s="32">
        <f>SUBTOTAL(109,Table82234[Kosto faktike])</f>
        <v>0</v>
      </c>
      <c r="J26" s="33">
        <f>SUBTOTAL(109,Table82234[Diferenca])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Table32133[Kosto e parashikuar]-Table32133[Kosto faktike]</f>
        <v>0</v>
      </c>
      <c r="F27" s="9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Table32133[Kosto e parashikuar]-Table32133[Kosto faktike]</f>
        <v>0</v>
      </c>
      <c r="F28" s="9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Table32133[Kosto e parashikuar]-Table32133[Kosto faktike]</f>
        <v>0</v>
      </c>
      <c r="F29" s="9"/>
      <c r="G29" s="5" t="s">
        <v>4</v>
      </c>
      <c r="H29" s="25"/>
      <c r="I29" s="25"/>
      <c r="J29" s="26">
        <f>Table92032[Kosto e parashikuar]-Table92032[Kosto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Table32133[Kosto e parashikuar]-Table32133[Kosto faktike]</f>
        <v>0</v>
      </c>
      <c r="F30" s="9"/>
      <c r="G30" s="5" t="s">
        <v>3</v>
      </c>
      <c r="H30" s="25"/>
      <c r="I30" s="25"/>
      <c r="J30" s="26">
        <f>Table92032[Kosto e parashikuar]-Table92032[Kosto faktike]</f>
        <v>0</v>
      </c>
    </row>
    <row r="31" spans="1:10" ht="15.75" customHeight="1" x14ac:dyDescent="0.2">
      <c r="A31" s="4"/>
      <c r="B31" s="24" t="s">
        <v>0</v>
      </c>
      <c r="C31" s="32">
        <f>SUBTOTAL(109,Table32133[Kosto e parashikuar])</f>
        <v>250</v>
      </c>
      <c r="D31" s="32">
        <f>SUBTOTAL(109,Table32133[Kosto faktike])</f>
        <v>250</v>
      </c>
      <c r="E31" s="33">
        <f>SUBTOTAL(109,Table32133[Diferenca])</f>
        <v>0</v>
      </c>
      <c r="F31" s="9"/>
      <c r="G31" s="5" t="s">
        <v>2</v>
      </c>
      <c r="H31" s="25"/>
      <c r="I31" s="25"/>
      <c r="J31" s="26">
        <f>Table92032[Kosto e parashikuar]-Table92032[Kosto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9"/>
      <c r="G32" s="5" t="s">
        <v>1</v>
      </c>
      <c r="H32" s="25"/>
      <c r="I32" s="25"/>
      <c r="J32" s="26">
        <f>Table92032[Kosto e parashikuar]-Table92032[Kosto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9"/>
      <c r="G33" s="24" t="s">
        <v>0</v>
      </c>
      <c r="H33" s="32">
        <f>SUBTOTAL(109,Table92032[Kosto e parashikuar])</f>
        <v>0</v>
      </c>
      <c r="I33" s="32">
        <f>SUBTOTAL(109,Table92032[Kosto faktike])</f>
        <v>0</v>
      </c>
      <c r="J33" s="33">
        <f>SUBTOTAL(109,Table92032[Diferenca])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Table41527[Kosto e parashikuar]-Table41527[Kosto faktike]</f>
        <v>0</v>
      </c>
      <c r="F34" s="9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Table41527[Kosto e parashikuar]-Table41527[Kosto faktike]</f>
        <v>0</v>
      </c>
      <c r="F35" s="9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Table41527[Kosto e parashikuar]-Table41527[Kosto faktike]</f>
        <v>0</v>
      </c>
      <c r="F36" s="9"/>
      <c r="G36" s="5" t="s">
        <v>43</v>
      </c>
      <c r="H36" s="25"/>
      <c r="I36" s="25"/>
      <c r="J36" s="26">
        <f>Table102335[Kosto e parashikuar]-Table102335[Kosto faktike]</f>
        <v>0</v>
      </c>
    </row>
    <row r="37" spans="1:10" ht="15.75" customHeight="1" x14ac:dyDescent="0.2">
      <c r="A37" s="4"/>
      <c r="B37" s="24" t="s">
        <v>0</v>
      </c>
      <c r="C37" s="32">
        <f>SUBTOTAL(109,Table41527[Kosto e parashikuar])</f>
        <v>0</v>
      </c>
      <c r="D37" s="32">
        <f>SUBTOTAL(109,Table41527[Kosto faktike])</f>
        <v>0</v>
      </c>
      <c r="E37" s="33">
        <f>SUBTOTAL(109,Table41527[Diferenca])</f>
        <v>0</v>
      </c>
      <c r="F37" s="9"/>
      <c r="G37" s="5" t="s">
        <v>42</v>
      </c>
      <c r="H37" s="25"/>
      <c r="I37" s="25"/>
      <c r="J37" s="26">
        <f>Table102335[Kosto e parashikuar]-Table102335[Kosto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9"/>
      <c r="G38" s="5" t="s">
        <v>25</v>
      </c>
      <c r="H38" s="25"/>
      <c r="I38" s="25"/>
      <c r="J38" s="26">
        <f>Table102335[Kosto e parashikuar]-Table102335[Kosto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9"/>
      <c r="G39" s="24" t="s">
        <v>0</v>
      </c>
      <c r="H39" s="32">
        <f>SUBTOTAL(109,Table102335[Kosto e parashikuar])</f>
        <v>0</v>
      </c>
      <c r="I39" s="32">
        <f>SUBTOTAL(109,Table102335[Kosto faktike])</f>
        <v>0</v>
      </c>
      <c r="J39" s="33">
        <f>SUBTOTAL(109,Table102335[Diferenca])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Table51931[Kosto e parashikuar]-Table51931[Kosto faktike]</f>
        <v>0</v>
      </c>
      <c r="F40" s="9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Table51931[Kosto e parashikuar]-Table51931[Kosto faktike]</f>
        <v>0</v>
      </c>
      <c r="F41" s="9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Table51931[Kosto e parashikuar]-Table51931[Kosto faktike]</f>
        <v>0</v>
      </c>
      <c r="F42" s="9"/>
      <c r="G42" s="5"/>
      <c r="H42" s="25"/>
      <c r="I42" s="25"/>
      <c r="J42" s="26">
        <f>Table111830[Kosto e parashikuar]-Table111830[Kosto faktike]</f>
        <v>0</v>
      </c>
    </row>
    <row r="43" spans="1:10" ht="15.75" customHeight="1" x14ac:dyDescent="0.2">
      <c r="A43" s="4"/>
      <c r="B43" s="24" t="s">
        <v>0</v>
      </c>
      <c r="C43" s="32">
        <f>SUBTOTAL(109,Table51931[Kosto e parashikuar])</f>
        <v>0</v>
      </c>
      <c r="D43" s="32">
        <f>SUBTOTAL(109,Table51931[Kosto faktike])</f>
        <v>0</v>
      </c>
      <c r="E43" s="33">
        <f>SUBTOTAL(109,Table51931[Diferenca])</f>
        <v>0</v>
      </c>
      <c r="F43" s="9"/>
      <c r="G43" s="5"/>
      <c r="H43" s="25"/>
      <c r="I43" s="25"/>
      <c r="J43" s="26">
        <f>Table111830[Kosto e parashikuar]-Table111830[Kosto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9"/>
      <c r="G44" s="5"/>
      <c r="H44" s="25"/>
      <c r="I44" s="25"/>
      <c r="J44" s="26">
        <f>Table111830[Kosto e parashikuar]-Table111830[Kosto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9"/>
      <c r="G45" s="24" t="s">
        <v>0</v>
      </c>
      <c r="H45" s="32">
        <f>SUBTOTAL(109,Table111830[Kosto e parashikuar])</f>
        <v>0</v>
      </c>
      <c r="I45" s="32">
        <f>SUBTOTAL(109,Table111830[Kosto faktike])</f>
        <v>0</v>
      </c>
      <c r="J45" s="33">
        <f>SUBTOTAL(109,Table111830[Diferenca])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Table61729[Kosto e parashikuar]-Table61729[Kosto faktike]</f>
        <v>0</v>
      </c>
      <c r="F46" s="9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Table61729[Kosto e parashikuar]-Table61729[Kosto faktike]</f>
        <v>0</v>
      </c>
      <c r="F47" s="9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Table61729[Kosto e parashikuar]-Table61729[Kosto faktike]</f>
        <v>0</v>
      </c>
      <c r="F48" s="9"/>
      <c r="G48" s="5"/>
      <c r="H48" s="25"/>
      <c r="I48" s="25"/>
      <c r="J48" s="26">
        <f>Table121628[Kosto e parashikuar]-Table121628[Kosto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Table61729[Kosto e parashikuar]-Table61729[Kosto faktike]</f>
        <v>0</v>
      </c>
      <c r="F49" s="9"/>
      <c r="G49" s="5"/>
      <c r="H49" s="25"/>
      <c r="I49" s="25"/>
      <c r="J49" s="26">
        <f>Table121628[Kosto e parashikuar]-Table121628[Kosto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Table61729[Kosto e parashikuar]-Table61729[Kosto faktike]</f>
        <v>0</v>
      </c>
      <c r="F50" s="9"/>
      <c r="G50" s="5"/>
      <c r="H50" s="25"/>
      <c r="I50" s="25"/>
      <c r="J50" s="26">
        <f>Table121628[Kosto e parashikuar]-Table121628[Kosto faktike]</f>
        <v>0</v>
      </c>
    </row>
    <row r="51" spans="1:10" ht="15.75" customHeight="1" x14ac:dyDescent="0.2">
      <c r="A51" s="4"/>
      <c r="B51" s="24" t="s">
        <v>0</v>
      </c>
      <c r="C51" s="32">
        <f>SUBTOTAL(109,Table61729[Kosto e parashikuar])</f>
        <v>0</v>
      </c>
      <c r="D51" s="32">
        <f>SUBTOTAL(109,Table61729[Kosto faktike])</f>
        <v>0</v>
      </c>
      <c r="E51" s="33">
        <f>SUBTOTAL(109,Table61729[Diferenca])</f>
        <v>0</v>
      </c>
      <c r="F51" s="9"/>
      <c r="G51" s="5"/>
      <c r="H51" s="25"/>
      <c r="I51" s="25"/>
      <c r="J51" s="26">
        <f>Table121628[Kosto e parashikuar]-Table121628[Kosto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9"/>
      <c r="G52" s="24" t="s">
        <v>0</v>
      </c>
      <c r="H52" s="32">
        <f>SUBTOTAL(109,Table121628[Kosto e parashikuar])</f>
        <v>0</v>
      </c>
      <c r="I52" s="32">
        <f>SUBTOTAL(109,Table121628[Kosto faktike])</f>
        <v>0</v>
      </c>
      <c r="J52" s="33">
        <f>SUBTOTAL(109,Table121628[Diferenca])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9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Table72436[Kosto e parashikuar]-Table72436[Kosto faktike]</f>
        <v>0</v>
      </c>
      <c r="F54" s="9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Table72436[Kosto e parashikuar]-Table72436[Kosto faktike]</f>
        <v>0</v>
      </c>
      <c r="F55" s="9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Table72436[Kosto e parashikuar]-Table72436[Kosto faktike]</f>
        <v>0</v>
      </c>
      <c r="F56" s="9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Table72436[Kosto e parashikuar]-Table72436[Kosto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Table72436[Kosto e parashikuar]-Table72436[Kosto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SUBTOTAL(109,Table72436[Kosto e parashikuar])</f>
        <v>0</v>
      </c>
      <c r="D59" s="32">
        <f>SUBTOTAL(109,Table72436[Kosto faktike])</f>
        <v>0</v>
      </c>
      <c r="E59" s="33">
        <f>SUBTOTAL(109,Table72436[Diferenca])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G56:I57"/>
    <mergeCell ref="J56:J57"/>
    <mergeCell ref="G58:I59"/>
    <mergeCell ref="J58:J59"/>
    <mergeCell ref="G40:J40"/>
    <mergeCell ref="B44:E44"/>
    <mergeCell ref="G46:J46"/>
    <mergeCell ref="B52:E52"/>
    <mergeCell ref="G53:J53"/>
    <mergeCell ref="G54:I55"/>
    <mergeCell ref="J54:J55"/>
    <mergeCell ref="G18:J18"/>
    <mergeCell ref="B22:E22"/>
    <mergeCell ref="G27:J27"/>
    <mergeCell ref="B32:E32"/>
    <mergeCell ref="G34:J34"/>
    <mergeCell ref="B38:E38"/>
    <mergeCell ref="B7:B9"/>
    <mergeCell ref="C7:D7"/>
    <mergeCell ref="C8:D8"/>
    <mergeCell ref="G8:I9"/>
    <mergeCell ref="J8:J9"/>
    <mergeCell ref="C9:D9"/>
    <mergeCell ref="B2:J2"/>
    <mergeCell ref="B3:D3"/>
    <mergeCell ref="B4:B6"/>
    <mergeCell ref="C4:D4"/>
    <mergeCell ref="G4:I5"/>
    <mergeCell ref="J4:J5"/>
    <mergeCell ref="C5:D5"/>
    <mergeCell ref="C6:D6"/>
    <mergeCell ref="G6:I7"/>
    <mergeCell ref="J6:J7"/>
  </mergeCells>
  <conditionalFormatting sqref="E40:E43 J20:J26 E24:E31 E12:E21 E34:E37 E46:E51 E54:E59 J12:J17 J29:J33 J36:J39 J42:J45 J48:J52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zoomScale="98" zoomScaleNormal="98" workbookViewId="0">
      <selection activeCell="G17" sqref="G17:J17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30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30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21"/>
      <c r="C10" s="21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Table1142638[Kosto e parashikuar]-Table1142638[Kosto faktike]</f>
        <v>100</v>
      </c>
      <c r="F12" s="9"/>
      <c r="G12" s="5" t="s">
        <v>26</v>
      </c>
      <c r="H12" s="25">
        <v>0</v>
      </c>
      <c r="I12" s="25">
        <v>50</v>
      </c>
      <c r="J12" s="26">
        <f>Table2253749[Kosto e parashikuar]-Table2253749[Kosto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Table1142638[Kosto e parashikuar]-Table1142638[Kosto faktike]</f>
        <v>-40</v>
      </c>
      <c r="F13" s="9"/>
      <c r="G13" s="5" t="s">
        <v>27</v>
      </c>
      <c r="H13" s="25"/>
      <c r="I13" s="25"/>
      <c r="J13" s="26">
        <f>Table2253749[Kosto e parashikuar]-Table2253749[Kosto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Table1142638[Kosto e parashikuar]-Table1142638[Kosto faktike]</f>
        <v>-10</v>
      </c>
      <c r="F14" s="9"/>
      <c r="G14" s="5" t="s">
        <v>28</v>
      </c>
      <c r="H14" s="25"/>
      <c r="I14" s="25"/>
      <c r="J14" s="26">
        <f>Table2253749[Kosto e parashikuar]-Table2253749[Kosto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Table1142638[Kosto e parashikuar]-Table1142638[Kosto faktike]</f>
        <v>20</v>
      </c>
      <c r="F15" s="9"/>
      <c r="G15" s="5" t="s">
        <v>29</v>
      </c>
      <c r="H15" s="25"/>
      <c r="I15" s="25"/>
      <c r="J15" s="26">
        <f>Table2253749[Kosto e parashikuar]-Table2253749[Kosto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Table1142638[Kosto e parashikuar]-Table1142638[Kosto faktike]</f>
        <v>0</v>
      </c>
      <c r="F16" s="9"/>
      <c r="G16" s="5" t="s">
        <v>25</v>
      </c>
      <c r="H16" s="25"/>
      <c r="I16" s="25"/>
      <c r="J16" s="26">
        <f>Table2253749[Kosto e parashikuar]-Table2253749[Kosto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Table1142638[Kosto e parashikuar]-Table1142638[Kosto faktike]</f>
        <v>0</v>
      </c>
      <c r="F17" s="9"/>
      <c r="G17" s="24" t="s">
        <v>0</v>
      </c>
      <c r="H17" s="31">
        <f>SUBTOTAL(109,Table2253749[Kosto e parashikuar])</f>
        <v>0</v>
      </c>
      <c r="I17" s="32">
        <f>SUBTOTAL(109,Table2253749[Kosto faktike])</f>
        <v>50</v>
      </c>
      <c r="J17" s="33">
        <f>SUBTOTAL(109,Table2253749[Diferenca])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Table1142638[Kosto e parashikuar]-Table1142638[Kosto faktike]</f>
        <v>0</v>
      </c>
      <c r="F18" s="9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Table1142638[Kosto e parashikuar]-Table1142638[Kosto faktike]</f>
        <v>0</v>
      </c>
      <c r="F19" s="9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Table1142638[Kosto e parashikuar]-Table1142638[Kosto faktike]</f>
        <v>0</v>
      </c>
      <c r="F20" s="9"/>
      <c r="G20" s="5" t="s">
        <v>31</v>
      </c>
      <c r="H20" s="25"/>
      <c r="I20" s="25"/>
      <c r="J20" s="26">
        <f>Table8223446[Kosto e parashikuar]-Table8223446[Kosto faktike]</f>
        <v>0</v>
      </c>
    </row>
    <row r="21" spans="1:10" ht="15.75" customHeight="1" x14ac:dyDescent="0.2">
      <c r="A21" s="4"/>
      <c r="B21" s="3" t="s">
        <v>0</v>
      </c>
      <c r="C21" s="25">
        <f>SUBTOTAL(109,Table1142638[Kosto e parashikuar])</f>
        <v>1810</v>
      </c>
      <c r="D21" s="25">
        <f>SUBTOTAL(109,Table1142638[Kosto faktike])</f>
        <v>1740</v>
      </c>
      <c r="E21" s="27">
        <f>SUBTOTAL(109,Table1142638[Diferenca])</f>
        <v>70</v>
      </c>
      <c r="F21" s="9"/>
      <c r="G21" s="5" t="s">
        <v>32</v>
      </c>
      <c r="H21" s="25"/>
      <c r="I21" s="25"/>
      <c r="J21" s="26">
        <f>Table8223446[Kosto e parashikuar]-Table8223446[Kosto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9"/>
      <c r="G22" s="5" t="s">
        <v>33</v>
      </c>
      <c r="H22" s="25"/>
      <c r="I22" s="25"/>
      <c r="J22" s="26">
        <f>Table8223446[Kosto e parashikuar]-Table8223446[Kosto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9"/>
      <c r="G23" s="5" t="s">
        <v>33</v>
      </c>
      <c r="H23" s="25"/>
      <c r="I23" s="25"/>
      <c r="J23" s="26">
        <f>Table8223446[Kosto e parashikuar]-Table8223446[Kosto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Table3213345[Kosto e parashikuar]-Table3213345[Kosto faktike]</f>
        <v>0</v>
      </c>
      <c r="F24" s="9"/>
      <c r="G24" s="5" t="s">
        <v>33</v>
      </c>
      <c r="H24" s="25"/>
      <c r="I24" s="25"/>
      <c r="J24" s="26">
        <f>Table8223446[Kosto e parashikuar]-Table8223446[Kosto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Table3213345[Kosto e parashikuar]-Table3213345[Kosto faktike]</f>
        <v>0</v>
      </c>
      <c r="F25" s="9"/>
      <c r="G25" s="5" t="s">
        <v>25</v>
      </c>
      <c r="H25" s="25"/>
      <c r="I25" s="25"/>
      <c r="J25" s="26">
        <f>Table8223446[Kosto e parashikuar]-Table8223446[Kosto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Table3213345[Kosto e parashikuar]-Table3213345[Kosto faktike]</f>
        <v>0</v>
      </c>
      <c r="F26" s="9"/>
      <c r="G26" s="24" t="s">
        <v>0</v>
      </c>
      <c r="H26" s="32">
        <f>SUBTOTAL(109,Table8223446[Kosto e parashikuar])</f>
        <v>0</v>
      </c>
      <c r="I26" s="32">
        <f>SUBTOTAL(109,Table8223446[Kosto faktike])</f>
        <v>0</v>
      </c>
      <c r="J26" s="33">
        <f>SUBTOTAL(109,Table8223446[Diferenca])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Table3213345[Kosto e parashikuar]-Table3213345[Kosto faktike]</f>
        <v>0</v>
      </c>
      <c r="F27" s="9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Table3213345[Kosto e parashikuar]-Table3213345[Kosto faktike]</f>
        <v>0</v>
      </c>
      <c r="F28" s="9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Table3213345[Kosto e parashikuar]-Table3213345[Kosto faktike]</f>
        <v>0</v>
      </c>
      <c r="F29" s="9"/>
      <c r="G29" s="5" t="s">
        <v>4</v>
      </c>
      <c r="H29" s="25"/>
      <c r="I29" s="25"/>
      <c r="J29" s="26">
        <f>Table9203244[Kosto e parashikuar]-Table9203244[Kosto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Table3213345[Kosto e parashikuar]-Table3213345[Kosto faktike]</f>
        <v>0</v>
      </c>
      <c r="F30" s="9"/>
      <c r="G30" s="5" t="s">
        <v>3</v>
      </c>
      <c r="H30" s="25"/>
      <c r="I30" s="25"/>
      <c r="J30" s="26">
        <f>Table9203244[Kosto e parashikuar]-Table9203244[Kosto faktike]</f>
        <v>0</v>
      </c>
    </row>
    <row r="31" spans="1:10" ht="15.75" customHeight="1" x14ac:dyDescent="0.2">
      <c r="A31" s="4"/>
      <c r="B31" s="24" t="s">
        <v>0</v>
      </c>
      <c r="C31" s="32">
        <f>SUBTOTAL(109,Table3213345[Kosto e parashikuar])</f>
        <v>250</v>
      </c>
      <c r="D31" s="32">
        <f>SUBTOTAL(109,Table3213345[Kosto faktike])</f>
        <v>250</v>
      </c>
      <c r="E31" s="33">
        <f>SUBTOTAL(109,Table3213345[Diferenca])</f>
        <v>0</v>
      </c>
      <c r="F31" s="9"/>
      <c r="G31" s="5" t="s">
        <v>2</v>
      </c>
      <c r="H31" s="25"/>
      <c r="I31" s="25"/>
      <c r="J31" s="26">
        <f>Table9203244[Kosto e parashikuar]-Table9203244[Kosto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9"/>
      <c r="G32" s="5" t="s">
        <v>1</v>
      </c>
      <c r="H32" s="25"/>
      <c r="I32" s="25"/>
      <c r="J32" s="26">
        <f>Table9203244[Kosto e parashikuar]-Table9203244[Kosto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9"/>
      <c r="G33" s="24" t="s">
        <v>0</v>
      </c>
      <c r="H33" s="32">
        <f>SUBTOTAL(109,Table9203244[Kosto e parashikuar])</f>
        <v>0</v>
      </c>
      <c r="I33" s="32">
        <f>SUBTOTAL(109,Table9203244[Kosto faktike])</f>
        <v>0</v>
      </c>
      <c r="J33" s="33">
        <f>SUBTOTAL(109,Table9203244[Diferenca])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Table4152739[Kosto e parashikuar]-Table4152739[Kosto faktike]</f>
        <v>0</v>
      </c>
      <c r="F34" s="9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Table4152739[Kosto e parashikuar]-Table4152739[Kosto faktike]</f>
        <v>0</v>
      </c>
      <c r="F35" s="9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Table4152739[Kosto e parashikuar]-Table4152739[Kosto faktike]</f>
        <v>0</v>
      </c>
      <c r="F36" s="9"/>
      <c r="G36" s="5" t="s">
        <v>43</v>
      </c>
      <c r="H36" s="25"/>
      <c r="I36" s="25"/>
      <c r="J36" s="26">
        <f>Table10233547[Kosto e parashikuar]-Table10233547[Kosto faktike]</f>
        <v>0</v>
      </c>
    </row>
    <row r="37" spans="1:10" ht="15.75" customHeight="1" x14ac:dyDescent="0.2">
      <c r="A37" s="4"/>
      <c r="B37" s="24" t="s">
        <v>0</v>
      </c>
      <c r="C37" s="32">
        <f>SUBTOTAL(109,Table4152739[Kosto e parashikuar])</f>
        <v>0</v>
      </c>
      <c r="D37" s="32">
        <f>SUBTOTAL(109,Table4152739[Kosto faktike])</f>
        <v>0</v>
      </c>
      <c r="E37" s="33">
        <f>SUBTOTAL(109,Table4152739[Diferenca])</f>
        <v>0</v>
      </c>
      <c r="F37" s="9"/>
      <c r="G37" s="5" t="s">
        <v>42</v>
      </c>
      <c r="H37" s="25"/>
      <c r="I37" s="25"/>
      <c r="J37" s="26">
        <f>Table10233547[Kosto e parashikuar]-Table10233547[Kosto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9"/>
      <c r="G38" s="5" t="s">
        <v>25</v>
      </c>
      <c r="H38" s="25"/>
      <c r="I38" s="25"/>
      <c r="J38" s="26">
        <f>Table10233547[Kosto e parashikuar]-Table10233547[Kosto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9"/>
      <c r="G39" s="24" t="s">
        <v>0</v>
      </c>
      <c r="H39" s="32">
        <f>SUBTOTAL(109,Table10233547[Kosto e parashikuar])</f>
        <v>0</v>
      </c>
      <c r="I39" s="32">
        <f>SUBTOTAL(109,Table10233547[Kosto faktike])</f>
        <v>0</v>
      </c>
      <c r="J39" s="33">
        <f>SUBTOTAL(109,Table10233547[Diferenca])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Table5193143[Kosto e parashikuar]-Table5193143[Kosto faktike]</f>
        <v>0</v>
      </c>
      <c r="F40" s="9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Table5193143[Kosto e parashikuar]-Table5193143[Kosto faktike]</f>
        <v>0</v>
      </c>
      <c r="F41" s="9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Table5193143[Kosto e parashikuar]-Table5193143[Kosto faktike]</f>
        <v>0</v>
      </c>
      <c r="F42" s="9"/>
      <c r="G42" s="5"/>
      <c r="H42" s="25"/>
      <c r="I42" s="25"/>
      <c r="J42" s="26">
        <f>Table11183042[Kosto e parashikuar]-Table11183042[Kosto faktike]</f>
        <v>0</v>
      </c>
    </row>
    <row r="43" spans="1:10" ht="15.75" customHeight="1" x14ac:dyDescent="0.2">
      <c r="A43" s="4"/>
      <c r="B43" s="24" t="s">
        <v>0</v>
      </c>
      <c r="C43" s="32">
        <f>SUBTOTAL(109,Table5193143[Kosto e parashikuar])</f>
        <v>0</v>
      </c>
      <c r="D43" s="32">
        <f>SUBTOTAL(109,Table5193143[Kosto faktike])</f>
        <v>0</v>
      </c>
      <c r="E43" s="33">
        <f>SUBTOTAL(109,Table5193143[Diferenca])</f>
        <v>0</v>
      </c>
      <c r="F43" s="9"/>
      <c r="G43" s="5"/>
      <c r="H43" s="25"/>
      <c r="I43" s="25"/>
      <c r="J43" s="26">
        <f>Table11183042[Kosto e parashikuar]-Table11183042[Kosto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9"/>
      <c r="G44" s="5"/>
      <c r="H44" s="25"/>
      <c r="I44" s="25"/>
      <c r="J44" s="26">
        <f>Table11183042[Kosto e parashikuar]-Table11183042[Kosto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9"/>
      <c r="G45" s="24" t="s">
        <v>0</v>
      </c>
      <c r="H45" s="32">
        <f>SUBTOTAL(109,Table11183042[Kosto e parashikuar])</f>
        <v>0</v>
      </c>
      <c r="I45" s="32">
        <f>SUBTOTAL(109,Table11183042[Kosto faktike])</f>
        <v>0</v>
      </c>
      <c r="J45" s="33">
        <f>SUBTOTAL(109,Table11183042[Diferenca])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Table6172941[Kosto e parashikuar]-Table6172941[Kosto faktike]</f>
        <v>0</v>
      </c>
      <c r="F46" s="9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Table6172941[Kosto e parashikuar]-Table6172941[Kosto faktike]</f>
        <v>0</v>
      </c>
      <c r="F47" s="9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Table6172941[Kosto e parashikuar]-Table6172941[Kosto faktike]</f>
        <v>0</v>
      </c>
      <c r="F48" s="9"/>
      <c r="G48" s="5"/>
      <c r="H48" s="25"/>
      <c r="I48" s="25"/>
      <c r="J48" s="26">
        <f>Table12162840[Kosto e parashikuar]-Table12162840[Kosto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Table6172941[Kosto e parashikuar]-Table6172941[Kosto faktike]</f>
        <v>0</v>
      </c>
      <c r="F49" s="9"/>
      <c r="G49" s="5"/>
      <c r="H49" s="25"/>
      <c r="I49" s="25"/>
      <c r="J49" s="26">
        <f>Table12162840[Kosto e parashikuar]-Table12162840[Kosto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Table6172941[Kosto e parashikuar]-Table6172941[Kosto faktike]</f>
        <v>0</v>
      </c>
      <c r="F50" s="9"/>
      <c r="G50" s="5"/>
      <c r="H50" s="25"/>
      <c r="I50" s="25"/>
      <c r="J50" s="26">
        <f>Table12162840[Kosto e parashikuar]-Table12162840[Kosto faktike]</f>
        <v>0</v>
      </c>
    </row>
    <row r="51" spans="1:10" ht="15.75" customHeight="1" x14ac:dyDescent="0.2">
      <c r="A51" s="4"/>
      <c r="B51" s="24" t="s">
        <v>0</v>
      </c>
      <c r="C51" s="32">
        <f>SUBTOTAL(109,Table6172941[Kosto e parashikuar])</f>
        <v>0</v>
      </c>
      <c r="D51" s="32">
        <f>SUBTOTAL(109,Table6172941[Kosto faktike])</f>
        <v>0</v>
      </c>
      <c r="E51" s="33">
        <f>SUBTOTAL(109,Table6172941[Diferenca])</f>
        <v>0</v>
      </c>
      <c r="F51" s="9"/>
      <c r="G51" s="5"/>
      <c r="H51" s="25"/>
      <c r="I51" s="25"/>
      <c r="J51" s="26">
        <f>Table12162840[Kosto e parashikuar]-Table12162840[Kosto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9"/>
      <c r="G52" s="24" t="s">
        <v>0</v>
      </c>
      <c r="H52" s="32">
        <f>SUBTOTAL(109,Table12162840[Kosto e parashikuar])</f>
        <v>0</v>
      </c>
      <c r="I52" s="32">
        <f>SUBTOTAL(109,Table12162840[Kosto faktike])</f>
        <v>0</v>
      </c>
      <c r="J52" s="33">
        <f>SUBTOTAL(109,Table12162840[Diferenca])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9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Table7243648[Kosto e parashikuar]-Table7243648[Kosto faktike]</f>
        <v>0</v>
      </c>
      <c r="F54" s="9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Table7243648[Kosto e parashikuar]-Table7243648[Kosto faktike]</f>
        <v>0</v>
      </c>
      <c r="F55" s="9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Table7243648[Kosto e parashikuar]-Table7243648[Kosto faktike]</f>
        <v>0</v>
      </c>
      <c r="F56" s="9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Table7243648[Kosto e parashikuar]-Table7243648[Kosto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Table7243648[Kosto e parashikuar]-Table7243648[Kosto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SUBTOTAL(109,Table7243648[Kosto e parashikuar])</f>
        <v>0</v>
      </c>
      <c r="D59" s="32">
        <f>SUBTOTAL(109,Table7243648[Kosto faktike])</f>
        <v>0</v>
      </c>
      <c r="E59" s="33">
        <f>SUBTOTAL(109,Table7243648[Diferenca])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G56:I57"/>
    <mergeCell ref="J56:J57"/>
    <mergeCell ref="G58:I59"/>
    <mergeCell ref="J58:J59"/>
    <mergeCell ref="G40:J40"/>
    <mergeCell ref="B44:E44"/>
    <mergeCell ref="G46:J46"/>
    <mergeCell ref="B52:E52"/>
    <mergeCell ref="G53:J53"/>
    <mergeCell ref="G54:I55"/>
    <mergeCell ref="J54:J55"/>
    <mergeCell ref="G18:J18"/>
    <mergeCell ref="B22:E22"/>
    <mergeCell ref="G27:J27"/>
    <mergeCell ref="B32:E32"/>
    <mergeCell ref="G34:J34"/>
    <mergeCell ref="B38:E38"/>
    <mergeCell ref="B7:B9"/>
    <mergeCell ref="C7:D7"/>
    <mergeCell ref="C8:D8"/>
    <mergeCell ref="G8:I9"/>
    <mergeCell ref="J8:J9"/>
    <mergeCell ref="C9:D9"/>
    <mergeCell ref="B2:J2"/>
    <mergeCell ref="B3:D3"/>
    <mergeCell ref="B4:B6"/>
    <mergeCell ref="C4:D4"/>
    <mergeCell ref="G4:I5"/>
    <mergeCell ref="J4:J5"/>
    <mergeCell ref="C5:D5"/>
    <mergeCell ref="C6:D6"/>
    <mergeCell ref="G6:I7"/>
    <mergeCell ref="J6:J7"/>
  </mergeCells>
  <conditionalFormatting sqref="E40:E43 J20:J26 E24:E31 E12:E21 E34:E37 E46:E51 E54:E59 J12:J17 J29:J33 J36:J39 J42:J45 J48:J52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zoomScale="98" zoomScaleNormal="98" workbookViewId="0">
      <selection activeCell="G17" sqref="G17:J17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30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30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21"/>
      <c r="C10" s="21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Table114263850[Kosto e parashikuar]-Table114263850[Kosto faktike]</f>
        <v>100</v>
      </c>
      <c r="F12" s="9"/>
      <c r="G12" s="5" t="s">
        <v>26</v>
      </c>
      <c r="H12" s="25">
        <v>0</v>
      </c>
      <c r="I12" s="25">
        <v>50</v>
      </c>
      <c r="J12" s="26">
        <f>Table225374961[Kosto e parashikuar]-Table225374961[Kosto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Table114263850[Kosto e parashikuar]-Table114263850[Kosto faktike]</f>
        <v>-40</v>
      </c>
      <c r="F13" s="9"/>
      <c r="G13" s="5" t="s">
        <v>27</v>
      </c>
      <c r="H13" s="25"/>
      <c r="I13" s="25"/>
      <c r="J13" s="26">
        <f>Table225374961[Kosto e parashikuar]-Table225374961[Kosto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Table114263850[Kosto e parashikuar]-Table114263850[Kosto faktike]</f>
        <v>-10</v>
      </c>
      <c r="F14" s="9"/>
      <c r="G14" s="5" t="s">
        <v>28</v>
      </c>
      <c r="H14" s="25"/>
      <c r="I14" s="25"/>
      <c r="J14" s="26">
        <f>Table225374961[Kosto e parashikuar]-Table225374961[Kosto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Table114263850[Kosto e parashikuar]-Table114263850[Kosto faktike]</f>
        <v>20</v>
      </c>
      <c r="F15" s="9"/>
      <c r="G15" s="5" t="s">
        <v>29</v>
      </c>
      <c r="H15" s="25"/>
      <c r="I15" s="25"/>
      <c r="J15" s="26">
        <f>Table225374961[Kosto e parashikuar]-Table225374961[Kosto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Table114263850[Kosto e parashikuar]-Table114263850[Kosto faktike]</f>
        <v>0</v>
      </c>
      <c r="F16" s="9"/>
      <c r="G16" s="5" t="s">
        <v>25</v>
      </c>
      <c r="H16" s="25"/>
      <c r="I16" s="25"/>
      <c r="J16" s="26">
        <f>Table225374961[Kosto e parashikuar]-Table225374961[Kosto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Table114263850[Kosto e parashikuar]-Table114263850[Kosto faktike]</f>
        <v>0</v>
      </c>
      <c r="F17" s="9"/>
      <c r="G17" s="24" t="s">
        <v>0</v>
      </c>
      <c r="H17" s="31">
        <f>SUBTOTAL(109,Table225374961[Kosto e parashikuar])</f>
        <v>0</v>
      </c>
      <c r="I17" s="32">
        <f>SUBTOTAL(109,Table225374961[Kosto faktike])</f>
        <v>50</v>
      </c>
      <c r="J17" s="33">
        <f>SUBTOTAL(109,Table225374961[Diferenca])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Table114263850[Kosto e parashikuar]-Table114263850[Kosto faktike]</f>
        <v>0</v>
      </c>
      <c r="F18" s="9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Table114263850[Kosto e parashikuar]-Table114263850[Kosto faktike]</f>
        <v>0</v>
      </c>
      <c r="F19" s="9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Table114263850[Kosto e parashikuar]-Table114263850[Kosto faktike]</f>
        <v>0</v>
      </c>
      <c r="F20" s="9"/>
      <c r="G20" s="5" t="s">
        <v>31</v>
      </c>
      <c r="H20" s="25"/>
      <c r="I20" s="25"/>
      <c r="J20" s="26">
        <f>Table822344658[Kosto e parashikuar]-Table822344658[Kosto faktike]</f>
        <v>0</v>
      </c>
    </row>
    <row r="21" spans="1:10" ht="15.75" customHeight="1" x14ac:dyDescent="0.2">
      <c r="A21" s="4"/>
      <c r="B21" s="3" t="s">
        <v>0</v>
      </c>
      <c r="C21" s="25">
        <f>SUBTOTAL(109,Table114263850[Kosto e parashikuar])</f>
        <v>1810</v>
      </c>
      <c r="D21" s="25">
        <f>SUBTOTAL(109,Table114263850[Kosto faktike])</f>
        <v>1740</v>
      </c>
      <c r="E21" s="27">
        <f>SUBTOTAL(109,Table114263850[Diferenca])</f>
        <v>70</v>
      </c>
      <c r="F21" s="9"/>
      <c r="G21" s="5" t="s">
        <v>32</v>
      </c>
      <c r="H21" s="25"/>
      <c r="I21" s="25"/>
      <c r="J21" s="26">
        <f>Table822344658[Kosto e parashikuar]-Table822344658[Kosto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9"/>
      <c r="G22" s="5" t="s">
        <v>33</v>
      </c>
      <c r="H22" s="25"/>
      <c r="I22" s="25"/>
      <c r="J22" s="26">
        <f>Table822344658[Kosto e parashikuar]-Table822344658[Kosto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9"/>
      <c r="G23" s="5" t="s">
        <v>33</v>
      </c>
      <c r="H23" s="25"/>
      <c r="I23" s="25"/>
      <c r="J23" s="26">
        <f>Table822344658[Kosto e parashikuar]-Table822344658[Kosto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Table321334557[Kosto e parashikuar]-Table321334557[Kosto faktike]</f>
        <v>0</v>
      </c>
      <c r="F24" s="9"/>
      <c r="G24" s="5" t="s">
        <v>33</v>
      </c>
      <c r="H24" s="25"/>
      <c r="I24" s="25"/>
      <c r="J24" s="26">
        <f>Table822344658[Kosto e parashikuar]-Table822344658[Kosto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Table321334557[Kosto e parashikuar]-Table321334557[Kosto faktike]</f>
        <v>0</v>
      </c>
      <c r="F25" s="9"/>
      <c r="G25" s="5" t="s">
        <v>25</v>
      </c>
      <c r="H25" s="25"/>
      <c r="I25" s="25"/>
      <c r="J25" s="26">
        <f>Table822344658[Kosto e parashikuar]-Table822344658[Kosto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Table321334557[Kosto e parashikuar]-Table321334557[Kosto faktike]</f>
        <v>0</v>
      </c>
      <c r="F26" s="9"/>
      <c r="G26" s="24" t="s">
        <v>0</v>
      </c>
      <c r="H26" s="32">
        <f>SUBTOTAL(109,Table822344658[Kosto e parashikuar])</f>
        <v>0</v>
      </c>
      <c r="I26" s="32">
        <f>SUBTOTAL(109,Table822344658[Kosto faktike])</f>
        <v>0</v>
      </c>
      <c r="J26" s="33">
        <f>SUBTOTAL(109,Table822344658[Diferenca])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Table321334557[Kosto e parashikuar]-Table321334557[Kosto faktike]</f>
        <v>0</v>
      </c>
      <c r="F27" s="9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Table321334557[Kosto e parashikuar]-Table321334557[Kosto faktike]</f>
        <v>0</v>
      </c>
      <c r="F28" s="9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Table321334557[Kosto e parashikuar]-Table321334557[Kosto faktike]</f>
        <v>0</v>
      </c>
      <c r="F29" s="9"/>
      <c r="G29" s="5" t="s">
        <v>4</v>
      </c>
      <c r="H29" s="25"/>
      <c r="I29" s="25"/>
      <c r="J29" s="26">
        <f>Table920324456[Kosto e parashikuar]-Table920324456[Kosto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Table321334557[Kosto e parashikuar]-Table321334557[Kosto faktike]</f>
        <v>0</v>
      </c>
      <c r="F30" s="9"/>
      <c r="G30" s="5" t="s">
        <v>3</v>
      </c>
      <c r="H30" s="25"/>
      <c r="I30" s="25"/>
      <c r="J30" s="26">
        <f>Table920324456[Kosto e parashikuar]-Table920324456[Kosto faktike]</f>
        <v>0</v>
      </c>
    </row>
    <row r="31" spans="1:10" ht="15.75" customHeight="1" x14ac:dyDescent="0.2">
      <c r="A31" s="4"/>
      <c r="B31" s="24" t="s">
        <v>0</v>
      </c>
      <c r="C31" s="32">
        <f>SUBTOTAL(109,Table321334557[Kosto e parashikuar])</f>
        <v>250</v>
      </c>
      <c r="D31" s="32">
        <f>SUBTOTAL(109,Table321334557[Kosto faktike])</f>
        <v>250</v>
      </c>
      <c r="E31" s="33">
        <f>SUBTOTAL(109,Table321334557[Diferenca])</f>
        <v>0</v>
      </c>
      <c r="F31" s="9"/>
      <c r="G31" s="5" t="s">
        <v>2</v>
      </c>
      <c r="H31" s="25"/>
      <c r="I31" s="25"/>
      <c r="J31" s="26">
        <f>Table920324456[Kosto e parashikuar]-Table920324456[Kosto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9"/>
      <c r="G32" s="5" t="s">
        <v>1</v>
      </c>
      <c r="H32" s="25"/>
      <c r="I32" s="25"/>
      <c r="J32" s="26">
        <f>Table920324456[Kosto e parashikuar]-Table920324456[Kosto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9"/>
      <c r="G33" s="24" t="s">
        <v>0</v>
      </c>
      <c r="H33" s="32">
        <f>SUBTOTAL(109,Table920324456[Kosto e parashikuar])</f>
        <v>0</v>
      </c>
      <c r="I33" s="32">
        <f>SUBTOTAL(109,Table920324456[Kosto faktike])</f>
        <v>0</v>
      </c>
      <c r="J33" s="33">
        <f>SUBTOTAL(109,Table920324456[Diferenca])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Table415273951[Kosto e parashikuar]-Table415273951[Kosto faktike]</f>
        <v>0</v>
      </c>
      <c r="F34" s="9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Table415273951[Kosto e parashikuar]-Table415273951[Kosto faktike]</f>
        <v>0</v>
      </c>
      <c r="F35" s="9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Table415273951[Kosto e parashikuar]-Table415273951[Kosto faktike]</f>
        <v>0</v>
      </c>
      <c r="F36" s="9"/>
      <c r="G36" s="5" t="s">
        <v>43</v>
      </c>
      <c r="H36" s="25"/>
      <c r="I36" s="25"/>
      <c r="J36" s="26">
        <f>Table1023354759[Kosto e parashikuar]-Table1023354759[Kosto faktike]</f>
        <v>0</v>
      </c>
    </row>
    <row r="37" spans="1:10" ht="15.75" customHeight="1" x14ac:dyDescent="0.2">
      <c r="A37" s="4"/>
      <c r="B37" s="24" t="s">
        <v>0</v>
      </c>
      <c r="C37" s="32">
        <f>SUBTOTAL(109,Table415273951[Kosto e parashikuar])</f>
        <v>0</v>
      </c>
      <c r="D37" s="32">
        <f>SUBTOTAL(109,Table415273951[Kosto faktike])</f>
        <v>0</v>
      </c>
      <c r="E37" s="33">
        <f>SUBTOTAL(109,Table415273951[Diferenca])</f>
        <v>0</v>
      </c>
      <c r="F37" s="9"/>
      <c r="G37" s="5" t="s">
        <v>42</v>
      </c>
      <c r="H37" s="25"/>
      <c r="I37" s="25"/>
      <c r="J37" s="26">
        <f>Table1023354759[Kosto e parashikuar]-Table1023354759[Kosto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9"/>
      <c r="G38" s="5" t="s">
        <v>25</v>
      </c>
      <c r="H38" s="25"/>
      <c r="I38" s="25"/>
      <c r="J38" s="26">
        <f>Table1023354759[Kosto e parashikuar]-Table1023354759[Kosto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9"/>
      <c r="G39" s="24" t="s">
        <v>0</v>
      </c>
      <c r="H39" s="32">
        <f>SUBTOTAL(109,Table1023354759[Kosto e parashikuar])</f>
        <v>0</v>
      </c>
      <c r="I39" s="32">
        <f>SUBTOTAL(109,Table1023354759[Kosto faktike])</f>
        <v>0</v>
      </c>
      <c r="J39" s="33">
        <f>SUBTOTAL(109,Table1023354759[Diferenca])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Table519314355[Kosto e parashikuar]-Table519314355[Kosto faktike]</f>
        <v>0</v>
      </c>
      <c r="F40" s="9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Table519314355[Kosto e parashikuar]-Table519314355[Kosto faktike]</f>
        <v>0</v>
      </c>
      <c r="F41" s="9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Table519314355[Kosto e parashikuar]-Table519314355[Kosto faktike]</f>
        <v>0</v>
      </c>
      <c r="F42" s="9"/>
      <c r="G42" s="5"/>
      <c r="H42" s="25"/>
      <c r="I42" s="25"/>
      <c r="J42" s="26">
        <f>Table1118304254[Kosto e parashikuar]-Table1118304254[Kosto faktike]</f>
        <v>0</v>
      </c>
    </row>
    <row r="43" spans="1:10" ht="15.75" customHeight="1" x14ac:dyDescent="0.2">
      <c r="A43" s="4"/>
      <c r="B43" s="24" t="s">
        <v>0</v>
      </c>
      <c r="C43" s="32">
        <f>SUBTOTAL(109,Table519314355[Kosto e parashikuar])</f>
        <v>0</v>
      </c>
      <c r="D43" s="32">
        <f>SUBTOTAL(109,Table519314355[Kosto faktike])</f>
        <v>0</v>
      </c>
      <c r="E43" s="33">
        <f>SUBTOTAL(109,Table519314355[Diferenca])</f>
        <v>0</v>
      </c>
      <c r="F43" s="9"/>
      <c r="G43" s="5"/>
      <c r="H43" s="25"/>
      <c r="I43" s="25"/>
      <c r="J43" s="26">
        <f>Table1118304254[Kosto e parashikuar]-Table1118304254[Kosto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9"/>
      <c r="G44" s="5"/>
      <c r="H44" s="25"/>
      <c r="I44" s="25"/>
      <c r="J44" s="26">
        <f>Table1118304254[Kosto e parashikuar]-Table1118304254[Kosto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9"/>
      <c r="G45" s="24" t="s">
        <v>0</v>
      </c>
      <c r="H45" s="32">
        <f>SUBTOTAL(109,Table1118304254[Kosto e parashikuar])</f>
        <v>0</v>
      </c>
      <c r="I45" s="32">
        <f>SUBTOTAL(109,Table1118304254[Kosto faktike])</f>
        <v>0</v>
      </c>
      <c r="J45" s="33">
        <f>SUBTOTAL(109,Table1118304254[Diferenca])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Table617294153[Kosto e parashikuar]-Table617294153[Kosto faktike]</f>
        <v>0</v>
      </c>
      <c r="F46" s="9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Table617294153[Kosto e parashikuar]-Table617294153[Kosto faktike]</f>
        <v>0</v>
      </c>
      <c r="F47" s="9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Table617294153[Kosto e parashikuar]-Table617294153[Kosto faktike]</f>
        <v>0</v>
      </c>
      <c r="F48" s="9"/>
      <c r="G48" s="5"/>
      <c r="H48" s="25"/>
      <c r="I48" s="25"/>
      <c r="J48" s="26">
        <f>Table1216284052[Kosto e parashikuar]-Table1216284052[Kosto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Table617294153[Kosto e parashikuar]-Table617294153[Kosto faktike]</f>
        <v>0</v>
      </c>
      <c r="F49" s="9"/>
      <c r="G49" s="5"/>
      <c r="H49" s="25"/>
      <c r="I49" s="25"/>
      <c r="J49" s="26">
        <f>Table1216284052[Kosto e parashikuar]-Table1216284052[Kosto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Table617294153[Kosto e parashikuar]-Table617294153[Kosto faktike]</f>
        <v>0</v>
      </c>
      <c r="F50" s="9"/>
      <c r="G50" s="5"/>
      <c r="H50" s="25"/>
      <c r="I50" s="25"/>
      <c r="J50" s="26">
        <f>Table1216284052[Kosto e parashikuar]-Table1216284052[Kosto faktike]</f>
        <v>0</v>
      </c>
    </row>
    <row r="51" spans="1:10" ht="15.75" customHeight="1" x14ac:dyDescent="0.2">
      <c r="A51" s="4"/>
      <c r="B51" s="24" t="s">
        <v>0</v>
      </c>
      <c r="C51" s="32">
        <f>SUBTOTAL(109,Table617294153[Kosto e parashikuar])</f>
        <v>0</v>
      </c>
      <c r="D51" s="32">
        <f>SUBTOTAL(109,Table617294153[Kosto faktike])</f>
        <v>0</v>
      </c>
      <c r="E51" s="33">
        <f>SUBTOTAL(109,Table617294153[Diferenca])</f>
        <v>0</v>
      </c>
      <c r="F51" s="9"/>
      <c r="G51" s="5"/>
      <c r="H51" s="25"/>
      <c r="I51" s="25"/>
      <c r="J51" s="26">
        <f>Table1216284052[Kosto e parashikuar]-Table1216284052[Kosto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9"/>
      <c r="G52" s="24" t="s">
        <v>0</v>
      </c>
      <c r="H52" s="32">
        <f>SUBTOTAL(109,Table1216284052[Kosto e parashikuar])</f>
        <v>0</v>
      </c>
      <c r="I52" s="32">
        <f>SUBTOTAL(109,Table1216284052[Kosto faktike])</f>
        <v>0</v>
      </c>
      <c r="J52" s="33">
        <f>SUBTOTAL(109,Table1216284052[Diferenca])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9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Table724364860[Kosto e parashikuar]-Table724364860[Kosto faktike]</f>
        <v>0</v>
      </c>
      <c r="F54" s="9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Table724364860[Kosto e parashikuar]-Table724364860[Kosto faktike]</f>
        <v>0</v>
      </c>
      <c r="F55" s="9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Table724364860[Kosto e parashikuar]-Table724364860[Kosto faktike]</f>
        <v>0</v>
      </c>
      <c r="F56" s="9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Table724364860[Kosto e parashikuar]-Table724364860[Kosto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Table724364860[Kosto e parashikuar]-Table724364860[Kosto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SUBTOTAL(109,Table724364860[Kosto e parashikuar])</f>
        <v>0</v>
      </c>
      <c r="D59" s="32">
        <f>SUBTOTAL(109,Table724364860[Kosto faktike])</f>
        <v>0</v>
      </c>
      <c r="E59" s="33">
        <f>SUBTOTAL(109,Table724364860[Diferenca])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G56:I57"/>
    <mergeCell ref="J56:J57"/>
    <mergeCell ref="G58:I59"/>
    <mergeCell ref="J58:J59"/>
    <mergeCell ref="G40:J40"/>
    <mergeCell ref="B44:E44"/>
    <mergeCell ref="G46:J46"/>
    <mergeCell ref="B52:E52"/>
    <mergeCell ref="G53:J53"/>
    <mergeCell ref="G54:I55"/>
    <mergeCell ref="J54:J55"/>
    <mergeCell ref="G18:J18"/>
    <mergeCell ref="B22:E22"/>
    <mergeCell ref="G27:J27"/>
    <mergeCell ref="B32:E32"/>
    <mergeCell ref="G34:J34"/>
    <mergeCell ref="B38:E38"/>
    <mergeCell ref="B7:B9"/>
    <mergeCell ref="C7:D7"/>
    <mergeCell ref="C8:D8"/>
    <mergeCell ref="G8:I9"/>
    <mergeCell ref="J8:J9"/>
    <mergeCell ref="C9:D9"/>
    <mergeCell ref="B2:J2"/>
    <mergeCell ref="B3:D3"/>
    <mergeCell ref="B4:B6"/>
    <mergeCell ref="C4:D4"/>
    <mergeCell ref="G4:I5"/>
    <mergeCell ref="J4:J5"/>
    <mergeCell ref="C5:D5"/>
    <mergeCell ref="C6:D6"/>
    <mergeCell ref="G6:I7"/>
    <mergeCell ref="J6:J7"/>
  </mergeCells>
  <conditionalFormatting sqref="E40:E43 J20:J26 E24:E31 E12:E21 E34:E37 E46:E51 E54:E59 J12:J17 J29:J33 J36:J39 J42:J45 J48:J52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zoomScale="98" zoomScaleNormal="98" workbookViewId="0">
      <selection activeCell="G17" sqref="G17:J17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30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30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21"/>
      <c r="C10" s="21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Table11426385062[Kosto e parashikuar]-Table11426385062[Kosto faktike]</f>
        <v>100</v>
      </c>
      <c r="F12" s="9"/>
      <c r="G12" s="5" t="s">
        <v>26</v>
      </c>
      <c r="H12" s="25">
        <v>0</v>
      </c>
      <c r="I12" s="25">
        <v>50</v>
      </c>
      <c r="J12" s="26">
        <f>Table22537496173[Kosto e parashikuar]-Table22537496173[Kosto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Table11426385062[Kosto e parashikuar]-Table11426385062[Kosto faktike]</f>
        <v>-40</v>
      </c>
      <c r="F13" s="9"/>
      <c r="G13" s="5" t="s">
        <v>27</v>
      </c>
      <c r="H13" s="25"/>
      <c r="I13" s="25"/>
      <c r="J13" s="26">
        <f>Table22537496173[Kosto e parashikuar]-Table22537496173[Kosto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Table11426385062[Kosto e parashikuar]-Table11426385062[Kosto faktike]</f>
        <v>-10</v>
      </c>
      <c r="F14" s="9"/>
      <c r="G14" s="5" t="s">
        <v>28</v>
      </c>
      <c r="H14" s="25"/>
      <c r="I14" s="25"/>
      <c r="J14" s="26">
        <f>Table22537496173[Kosto e parashikuar]-Table22537496173[Kosto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Table11426385062[Kosto e parashikuar]-Table11426385062[Kosto faktike]</f>
        <v>20</v>
      </c>
      <c r="F15" s="9"/>
      <c r="G15" s="5" t="s">
        <v>29</v>
      </c>
      <c r="H15" s="25"/>
      <c r="I15" s="25"/>
      <c r="J15" s="26">
        <f>Table22537496173[Kosto e parashikuar]-Table22537496173[Kosto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Table11426385062[Kosto e parashikuar]-Table11426385062[Kosto faktike]</f>
        <v>0</v>
      </c>
      <c r="F16" s="9"/>
      <c r="G16" s="5" t="s">
        <v>25</v>
      </c>
      <c r="H16" s="25"/>
      <c r="I16" s="25"/>
      <c r="J16" s="26">
        <f>Table22537496173[Kosto e parashikuar]-Table22537496173[Kosto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Table11426385062[Kosto e parashikuar]-Table11426385062[Kosto faktike]</f>
        <v>0</v>
      </c>
      <c r="F17" s="9"/>
      <c r="G17" s="24" t="s">
        <v>0</v>
      </c>
      <c r="H17" s="31">
        <f>SUBTOTAL(109,Table22537496173[Kosto e parashikuar])</f>
        <v>0</v>
      </c>
      <c r="I17" s="32">
        <f>SUBTOTAL(109,Table22537496173[Kosto faktike])</f>
        <v>50</v>
      </c>
      <c r="J17" s="33">
        <f>SUBTOTAL(109,Table22537496173[Diferenca])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Table11426385062[Kosto e parashikuar]-Table11426385062[Kosto faktike]</f>
        <v>0</v>
      </c>
      <c r="F18" s="9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Table11426385062[Kosto e parashikuar]-Table11426385062[Kosto faktike]</f>
        <v>0</v>
      </c>
      <c r="F19" s="9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Table11426385062[Kosto e parashikuar]-Table11426385062[Kosto faktike]</f>
        <v>0</v>
      </c>
      <c r="F20" s="9"/>
      <c r="G20" s="5" t="s">
        <v>31</v>
      </c>
      <c r="H20" s="25"/>
      <c r="I20" s="25"/>
      <c r="J20" s="26">
        <f>Table82234465870[Kosto e parashikuar]-Table82234465870[Kosto faktike]</f>
        <v>0</v>
      </c>
    </row>
    <row r="21" spans="1:10" ht="15.75" customHeight="1" x14ac:dyDescent="0.2">
      <c r="A21" s="4"/>
      <c r="B21" s="3" t="s">
        <v>0</v>
      </c>
      <c r="C21" s="25">
        <f>SUBTOTAL(109,Table11426385062[Kosto e parashikuar])</f>
        <v>1810</v>
      </c>
      <c r="D21" s="25">
        <f>SUBTOTAL(109,Table11426385062[Kosto faktike])</f>
        <v>1740</v>
      </c>
      <c r="E21" s="27">
        <f>SUBTOTAL(109,Table11426385062[Diferenca])</f>
        <v>70</v>
      </c>
      <c r="F21" s="9"/>
      <c r="G21" s="5" t="s">
        <v>32</v>
      </c>
      <c r="H21" s="25"/>
      <c r="I21" s="25"/>
      <c r="J21" s="26">
        <f>Table82234465870[Kosto e parashikuar]-Table82234465870[Kosto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9"/>
      <c r="G22" s="5" t="s">
        <v>33</v>
      </c>
      <c r="H22" s="25"/>
      <c r="I22" s="25"/>
      <c r="J22" s="26">
        <f>Table82234465870[Kosto e parashikuar]-Table82234465870[Kosto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9"/>
      <c r="G23" s="5" t="s">
        <v>33</v>
      </c>
      <c r="H23" s="25"/>
      <c r="I23" s="25"/>
      <c r="J23" s="26">
        <f>Table82234465870[Kosto e parashikuar]-Table82234465870[Kosto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Table32133455769[Kosto e parashikuar]-Table32133455769[Kosto faktike]</f>
        <v>0</v>
      </c>
      <c r="F24" s="9"/>
      <c r="G24" s="5" t="s">
        <v>33</v>
      </c>
      <c r="H24" s="25"/>
      <c r="I24" s="25"/>
      <c r="J24" s="26">
        <f>Table82234465870[Kosto e parashikuar]-Table82234465870[Kosto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Table32133455769[Kosto e parashikuar]-Table32133455769[Kosto faktike]</f>
        <v>0</v>
      </c>
      <c r="F25" s="9"/>
      <c r="G25" s="5" t="s">
        <v>25</v>
      </c>
      <c r="H25" s="25"/>
      <c r="I25" s="25"/>
      <c r="J25" s="26">
        <f>Table82234465870[Kosto e parashikuar]-Table82234465870[Kosto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Table32133455769[Kosto e parashikuar]-Table32133455769[Kosto faktike]</f>
        <v>0</v>
      </c>
      <c r="F26" s="9"/>
      <c r="G26" s="24" t="s">
        <v>0</v>
      </c>
      <c r="H26" s="32">
        <f>SUBTOTAL(109,Table82234465870[Kosto e parashikuar])</f>
        <v>0</v>
      </c>
      <c r="I26" s="32">
        <f>SUBTOTAL(109,Table82234465870[Kosto faktike])</f>
        <v>0</v>
      </c>
      <c r="J26" s="33">
        <f>SUBTOTAL(109,Table82234465870[Diferenca])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Table32133455769[Kosto e parashikuar]-Table32133455769[Kosto faktike]</f>
        <v>0</v>
      </c>
      <c r="F27" s="9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Table32133455769[Kosto e parashikuar]-Table32133455769[Kosto faktike]</f>
        <v>0</v>
      </c>
      <c r="F28" s="9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Table32133455769[Kosto e parashikuar]-Table32133455769[Kosto faktike]</f>
        <v>0</v>
      </c>
      <c r="F29" s="9"/>
      <c r="G29" s="5" t="s">
        <v>4</v>
      </c>
      <c r="H29" s="25"/>
      <c r="I29" s="25"/>
      <c r="J29" s="26">
        <f>Table92032445668[Kosto e parashikuar]-Table92032445668[Kosto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Table32133455769[Kosto e parashikuar]-Table32133455769[Kosto faktike]</f>
        <v>0</v>
      </c>
      <c r="F30" s="9"/>
      <c r="G30" s="5" t="s">
        <v>3</v>
      </c>
      <c r="H30" s="25"/>
      <c r="I30" s="25"/>
      <c r="J30" s="26">
        <f>Table92032445668[Kosto e parashikuar]-Table92032445668[Kosto faktike]</f>
        <v>0</v>
      </c>
    </row>
    <row r="31" spans="1:10" ht="15.75" customHeight="1" x14ac:dyDescent="0.2">
      <c r="A31" s="4"/>
      <c r="B31" s="24" t="s">
        <v>0</v>
      </c>
      <c r="C31" s="32">
        <f>SUBTOTAL(109,Table32133455769[Kosto e parashikuar])</f>
        <v>250</v>
      </c>
      <c r="D31" s="32">
        <f>SUBTOTAL(109,Table32133455769[Kosto faktike])</f>
        <v>250</v>
      </c>
      <c r="E31" s="33">
        <f>SUBTOTAL(109,Table32133455769[Diferenca])</f>
        <v>0</v>
      </c>
      <c r="F31" s="9"/>
      <c r="G31" s="5" t="s">
        <v>2</v>
      </c>
      <c r="H31" s="25"/>
      <c r="I31" s="25"/>
      <c r="J31" s="26">
        <f>Table92032445668[Kosto e parashikuar]-Table92032445668[Kosto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9"/>
      <c r="G32" s="5" t="s">
        <v>1</v>
      </c>
      <c r="H32" s="25"/>
      <c r="I32" s="25"/>
      <c r="J32" s="26">
        <f>Table92032445668[Kosto e parashikuar]-Table92032445668[Kosto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9"/>
      <c r="G33" s="24" t="s">
        <v>0</v>
      </c>
      <c r="H33" s="32">
        <f>SUBTOTAL(109,Table92032445668[Kosto e parashikuar])</f>
        <v>0</v>
      </c>
      <c r="I33" s="32">
        <f>SUBTOTAL(109,Table92032445668[Kosto faktike])</f>
        <v>0</v>
      </c>
      <c r="J33" s="33">
        <f>SUBTOTAL(109,Table92032445668[Diferenca])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Table41527395163[Kosto e parashikuar]-Table41527395163[Kosto faktike]</f>
        <v>0</v>
      </c>
      <c r="F34" s="9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Table41527395163[Kosto e parashikuar]-Table41527395163[Kosto faktike]</f>
        <v>0</v>
      </c>
      <c r="F35" s="9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Table41527395163[Kosto e parashikuar]-Table41527395163[Kosto faktike]</f>
        <v>0</v>
      </c>
      <c r="F36" s="9"/>
      <c r="G36" s="5" t="s">
        <v>43</v>
      </c>
      <c r="H36" s="25"/>
      <c r="I36" s="25"/>
      <c r="J36" s="26">
        <f>Table102335475971[Kosto e parashikuar]-Table102335475971[Kosto faktike]</f>
        <v>0</v>
      </c>
    </row>
    <row r="37" spans="1:10" ht="15.75" customHeight="1" x14ac:dyDescent="0.2">
      <c r="A37" s="4"/>
      <c r="B37" s="24" t="s">
        <v>0</v>
      </c>
      <c r="C37" s="32">
        <f>SUBTOTAL(109,Table41527395163[Kosto e parashikuar])</f>
        <v>0</v>
      </c>
      <c r="D37" s="32">
        <f>SUBTOTAL(109,Table41527395163[Kosto faktike])</f>
        <v>0</v>
      </c>
      <c r="E37" s="33">
        <f>SUBTOTAL(109,Table41527395163[Diferenca])</f>
        <v>0</v>
      </c>
      <c r="F37" s="9"/>
      <c r="G37" s="5" t="s">
        <v>42</v>
      </c>
      <c r="H37" s="25"/>
      <c r="I37" s="25"/>
      <c r="J37" s="26">
        <f>Table102335475971[Kosto e parashikuar]-Table102335475971[Kosto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9"/>
      <c r="G38" s="5" t="s">
        <v>25</v>
      </c>
      <c r="H38" s="25"/>
      <c r="I38" s="25"/>
      <c r="J38" s="26">
        <f>Table102335475971[Kosto e parashikuar]-Table102335475971[Kosto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9"/>
      <c r="G39" s="24" t="s">
        <v>0</v>
      </c>
      <c r="H39" s="32">
        <f>SUBTOTAL(109,Table102335475971[Kosto e parashikuar])</f>
        <v>0</v>
      </c>
      <c r="I39" s="32">
        <f>SUBTOTAL(109,Table102335475971[Kosto faktike])</f>
        <v>0</v>
      </c>
      <c r="J39" s="33">
        <f>SUBTOTAL(109,Table102335475971[Diferenca])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Table51931435567[Kosto e parashikuar]-Table51931435567[Kosto faktike]</f>
        <v>0</v>
      </c>
      <c r="F40" s="9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Table51931435567[Kosto e parashikuar]-Table51931435567[Kosto faktike]</f>
        <v>0</v>
      </c>
      <c r="F41" s="9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Table51931435567[Kosto e parashikuar]-Table51931435567[Kosto faktike]</f>
        <v>0</v>
      </c>
      <c r="F42" s="9"/>
      <c r="G42" s="5"/>
      <c r="H42" s="25"/>
      <c r="I42" s="25"/>
      <c r="J42" s="26">
        <f>Table111830425466[Kosto e parashikuar]-Table111830425466[Kosto faktike]</f>
        <v>0</v>
      </c>
    </row>
    <row r="43" spans="1:10" ht="15.75" customHeight="1" x14ac:dyDescent="0.2">
      <c r="A43" s="4"/>
      <c r="B43" s="24" t="s">
        <v>0</v>
      </c>
      <c r="C43" s="32">
        <f>SUBTOTAL(109,Table51931435567[Kosto e parashikuar])</f>
        <v>0</v>
      </c>
      <c r="D43" s="32">
        <f>SUBTOTAL(109,Table51931435567[Kosto faktike])</f>
        <v>0</v>
      </c>
      <c r="E43" s="33">
        <f>SUBTOTAL(109,Table51931435567[Diferenca])</f>
        <v>0</v>
      </c>
      <c r="F43" s="9"/>
      <c r="G43" s="5"/>
      <c r="H43" s="25"/>
      <c r="I43" s="25"/>
      <c r="J43" s="26">
        <f>Table111830425466[Kosto e parashikuar]-Table111830425466[Kosto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9"/>
      <c r="G44" s="5"/>
      <c r="H44" s="25"/>
      <c r="I44" s="25"/>
      <c r="J44" s="26">
        <f>Table111830425466[Kosto e parashikuar]-Table111830425466[Kosto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9"/>
      <c r="G45" s="24" t="s">
        <v>0</v>
      </c>
      <c r="H45" s="32">
        <f>SUBTOTAL(109,Table111830425466[Kosto e parashikuar])</f>
        <v>0</v>
      </c>
      <c r="I45" s="32">
        <f>SUBTOTAL(109,Table111830425466[Kosto faktike])</f>
        <v>0</v>
      </c>
      <c r="J45" s="33">
        <f>SUBTOTAL(109,Table111830425466[Diferenca])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Table61729415365[Kosto e parashikuar]-Table61729415365[Kosto faktike]</f>
        <v>0</v>
      </c>
      <c r="F46" s="9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Table61729415365[Kosto e parashikuar]-Table61729415365[Kosto faktike]</f>
        <v>0</v>
      </c>
      <c r="F47" s="9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Table61729415365[Kosto e parashikuar]-Table61729415365[Kosto faktike]</f>
        <v>0</v>
      </c>
      <c r="F48" s="9"/>
      <c r="G48" s="5"/>
      <c r="H48" s="25"/>
      <c r="I48" s="25"/>
      <c r="J48" s="26">
        <f>Table121628405264[Kosto e parashikuar]-Table121628405264[Kosto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Table61729415365[Kosto e parashikuar]-Table61729415365[Kosto faktike]</f>
        <v>0</v>
      </c>
      <c r="F49" s="9"/>
      <c r="G49" s="5"/>
      <c r="H49" s="25"/>
      <c r="I49" s="25"/>
      <c r="J49" s="26">
        <f>Table121628405264[Kosto e parashikuar]-Table121628405264[Kosto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Table61729415365[Kosto e parashikuar]-Table61729415365[Kosto faktike]</f>
        <v>0</v>
      </c>
      <c r="F50" s="9"/>
      <c r="G50" s="5"/>
      <c r="H50" s="25"/>
      <c r="I50" s="25"/>
      <c r="J50" s="26">
        <f>Table121628405264[Kosto e parashikuar]-Table121628405264[Kosto faktike]</f>
        <v>0</v>
      </c>
    </row>
    <row r="51" spans="1:10" ht="15.75" customHeight="1" x14ac:dyDescent="0.2">
      <c r="A51" s="4"/>
      <c r="B51" s="24" t="s">
        <v>0</v>
      </c>
      <c r="C51" s="32">
        <f>SUBTOTAL(109,Table61729415365[Kosto e parashikuar])</f>
        <v>0</v>
      </c>
      <c r="D51" s="32">
        <f>SUBTOTAL(109,Table61729415365[Kosto faktike])</f>
        <v>0</v>
      </c>
      <c r="E51" s="33">
        <f>SUBTOTAL(109,Table61729415365[Diferenca])</f>
        <v>0</v>
      </c>
      <c r="F51" s="9"/>
      <c r="G51" s="5"/>
      <c r="H51" s="25"/>
      <c r="I51" s="25"/>
      <c r="J51" s="26">
        <f>Table121628405264[Kosto e parashikuar]-Table121628405264[Kosto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9"/>
      <c r="G52" s="24" t="s">
        <v>0</v>
      </c>
      <c r="H52" s="32">
        <f>SUBTOTAL(109,Table121628405264[Kosto e parashikuar])</f>
        <v>0</v>
      </c>
      <c r="I52" s="32">
        <f>SUBTOTAL(109,Table121628405264[Kosto faktike])</f>
        <v>0</v>
      </c>
      <c r="J52" s="33">
        <f>SUBTOTAL(109,Table121628405264[Diferenca])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9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Table72436486072[Kosto e parashikuar]-Table72436486072[Kosto faktike]</f>
        <v>0</v>
      </c>
      <c r="F54" s="9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Table72436486072[Kosto e parashikuar]-Table72436486072[Kosto faktike]</f>
        <v>0</v>
      </c>
      <c r="F55" s="9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Table72436486072[Kosto e parashikuar]-Table72436486072[Kosto faktike]</f>
        <v>0</v>
      </c>
      <c r="F56" s="9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Table72436486072[Kosto e parashikuar]-Table72436486072[Kosto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Table72436486072[Kosto e parashikuar]-Table72436486072[Kosto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SUBTOTAL(109,Table72436486072[Kosto e parashikuar])</f>
        <v>0</v>
      </c>
      <c r="D59" s="32">
        <f>SUBTOTAL(109,Table72436486072[Kosto faktike])</f>
        <v>0</v>
      </c>
      <c r="E59" s="33">
        <f>SUBTOTAL(109,Table72436486072[Diferenca])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G56:I57"/>
    <mergeCell ref="J56:J57"/>
    <mergeCell ref="G58:I59"/>
    <mergeCell ref="J58:J59"/>
    <mergeCell ref="G40:J40"/>
    <mergeCell ref="B44:E44"/>
    <mergeCell ref="G46:J46"/>
    <mergeCell ref="B52:E52"/>
    <mergeCell ref="G53:J53"/>
    <mergeCell ref="G54:I55"/>
    <mergeCell ref="J54:J55"/>
    <mergeCell ref="G18:J18"/>
    <mergeCell ref="B22:E22"/>
    <mergeCell ref="G27:J27"/>
    <mergeCell ref="B32:E32"/>
    <mergeCell ref="G34:J34"/>
    <mergeCell ref="B38:E38"/>
    <mergeCell ref="B7:B9"/>
    <mergeCell ref="C7:D7"/>
    <mergeCell ref="C8:D8"/>
    <mergeCell ref="G8:I9"/>
    <mergeCell ref="J8:J9"/>
    <mergeCell ref="C9:D9"/>
    <mergeCell ref="B2:J2"/>
    <mergeCell ref="B3:D3"/>
    <mergeCell ref="B4:B6"/>
    <mergeCell ref="C4:D4"/>
    <mergeCell ref="G4:I5"/>
    <mergeCell ref="J4:J5"/>
    <mergeCell ref="C5:D5"/>
    <mergeCell ref="C6:D6"/>
    <mergeCell ref="G6:I7"/>
    <mergeCell ref="J6:J7"/>
  </mergeCells>
  <conditionalFormatting sqref="E40:E43 J20:J26 E24:E31 E12:E21 E34:E37 E46:E51 E54:E59 J12:J17 J29:J33 J36:J39 J42:J45 J48:J52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zoomScale="98" zoomScaleNormal="98" workbookViewId="0">
      <selection activeCell="G18" sqref="G18:J18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30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30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21"/>
      <c r="C10" s="21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Table1142638506274[Kosto e parashikuar]-Table1142638506274[Kosto faktike]</f>
        <v>100</v>
      </c>
      <c r="F12" s="9"/>
      <c r="G12" s="5" t="s">
        <v>26</v>
      </c>
      <c r="H12" s="25">
        <v>0</v>
      </c>
      <c r="I12" s="25">
        <v>50</v>
      </c>
      <c r="J12" s="26">
        <f>Table2253749617385[Kosto e parashikuar]-Table2253749617385[Kosto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Table1142638506274[Kosto e parashikuar]-Table1142638506274[Kosto faktike]</f>
        <v>-40</v>
      </c>
      <c r="F13" s="9"/>
      <c r="G13" s="5" t="s">
        <v>27</v>
      </c>
      <c r="H13" s="25"/>
      <c r="I13" s="25"/>
      <c r="J13" s="26">
        <f>Table2253749617385[Kosto e parashikuar]-Table2253749617385[Kosto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Table1142638506274[Kosto e parashikuar]-Table1142638506274[Kosto faktike]</f>
        <v>-10</v>
      </c>
      <c r="F14" s="9"/>
      <c r="G14" s="5" t="s">
        <v>28</v>
      </c>
      <c r="H14" s="25"/>
      <c r="I14" s="25"/>
      <c r="J14" s="26">
        <f>Table2253749617385[Kosto e parashikuar]-Table2253749617385[Kosto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Table1142638506274[Kosto e parashikuar]-Table1142638506274[Kosto faktike]</f>
        <v>20</v>
      </c>
      <c r="F15" s="9"/>
      <c r="G15" s="5" t="s">
        <v>29</v>
      </c>
      <c r="H15" s="25"/>
      <c r="I15" s="25"/>
      <c r="J15" s="26">
        <f>Table2253749617385[Kosto e parashikuar]-Table2253749617385[Kosto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Table1142638506274[Kosto e parashikuar]-Table1142638506274[Kosto faktike]</f>
        <v>0</v>
      </c>
      <c r="F16" s="9"/>
      <c r="G16" s="5" t="s">
        <v>25</v>
      </c>
      <c r="H16" s="25"/>
      <c r="I16" s="25"/>
      <c r="J16" s="26">
        <f>Table2253749617385[Kosto e parashikuar]-Table2253749617385[Kosto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Table1142638506274[Kosto e parashikuar]-Table1142638506274[Kosto faktike]</f>
        <v>0</v>
      </c>
      <c r="F17" s="9"/>
      <c r="G17" s="24" t="s">
        <v>0</v>
      </c>
      <c r="H17" s="31">
        <f>SUBTOTAL(109,Table2253749617385[Kosto e parashikuar])</f>
        <v>0</v>
      </c>
      <c r="I17" s="32">
        <f>SUBTOTAL(109,Table2253749617385[Kosto faktike])</f>
        <v>50</v>
      </c>
      <c r="J17" s="33">
        <f>SUBTOTAL(109,Table2253749617385[Diferenca])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Table1142638506274[Kosto e parashikuar]-Table1142638506274[Kosto faktike]</f>
        <v>0</v>
      </c>
      <c r="F18" s="9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Table1142638506274[Kosto e parashikuar]-Table1142638506274[Kosto faktike]</f>
        <v>0</v>
      </c>
      <c r="F19" s="9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Table1142638506274[Kosto e parashikuar]-Table1142638506274[Kosto faktike]</f>
        <v>0</v>
      </c>
      <c r="F20" s="9"/>
      <c r="G20" s="5" t="s">
        <v>31</v>
      </c>
      <c r="H20" s="25"/>
      <c r="I20" s="25"/>
      <c r="J20" s="26">
        <f>Table8223446587082[Kosto e parashikuar]-Table8223446587082[Kosto faktike]</f>
        <v>0</v>
      </c>
    </row>
    <row r="21" spans="1:10" ht="15.75" customHeight="1" x14ac:dyDescent="0.2">
      <c r="A21" s="4"/>
      <c r="B21" s="3" t="s">
        <v>0</v>
      </c>
      <c r="C21" s="25">
        <f>SUBTOTAL(109,Table1142638506274[Kosto e parashikuar])</f>
        <v>1810</v>
      </c>
      <c r="D21" s="25">
        <f>SUBTOTAL(109,Table1142638506274[Kosto faktike])</f>
        <v>1740</v>
      </c>
      <c r="E21" s="27">
        <f>SUBTOTAL(109,Table1142638506274[Diferenca])</f>
        <v>70</v>
      </c>
      <c r="F21" s="9"/>
      <c r="G21" s="5" t="s">
        <v>32</v>
      </c>
      <c r="H21" s="25"/>
      <c r="I21" s="25"/>
      <c r="J21" s="26">
        <f>Table8223446587082[Kosto e parashikuar]-Table8223446587082[Kosto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9"/>
      <c r="G22" s="5" t="s">
        <v>33</v>
      </c>
      <c r="H22" s="25"/>
      <c r="I22" s="25"/>
      <c r="J22" s="26">
        <f>Table8223446587082[Kosto e parashikuar]-Table8223446587082[Kosto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9"/>
      <c r="G23" s="5" t="s">
        <v>33</v>
      </c>
      <c r="H23" s="25"/>
      <c r="I23" s="25"/>
      <c r="J23" s="26">
        <f>Table8223446587082[Kosto e parashikuar]-Table8223446587082[Kosto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Table3213345576981[Kosto e parashikuar]-Table3213345576981[Kosto faktike]</f>
        <v>0</v>
      </c>
      <c r="F24" s="9"/>
      <c r="G24" s="5" t="s">
        <v>33</v>
      </c>
      <c r="H24" s="25"/>
      <c r="I24" s="25"/>
      <c r="J24" s="26">
        <f>Table8223446587082[Kosto e parashikuar]-Table8223446587082[Kosto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Table3213345576981[Kosto e parashikuar]-Table3213345576981[Kosto faktike]</f>
        <v>0</v>
      </c>
      <c r="F25" s="9"/>
      <c r="G25" s="5" t="s">
        <v>25</v>
      </c>
      <c r="H25" s="25"/>
      <c r="I25" s="25"/>
      <c r="J25" s="26">
        <f>Table8223446587082[Kosto e parashikuar]-Table8223446587082[Kosto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Table3213345576981[Kosto e parashikuar]-Table3213345576981[Kosto faktike]</f>
        <v>0</v>
      </c>
      <c r="F26" s="9"/>
      <c r="G26" s="24" t="s">
        <v>0</v>
      </c>
      <c r="H26" s="32">
        <f>SUBTOTAL(109,Table8223446587082[Kosto e parashikuar])</f>
        <v>0</v>
      </c>
      <c r="I26" s="32">
        <f>SUBTOTAL(109,Table8223446587082[Kosto faktike])</f>
        <v>0</v>
      </c>
      <c r="J26" s="33">
        <f>SUBTOTAL(109,Table8223446587082[Diferenca])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Table3213345576981[Kosto e parashikuar]-Table3213345576981[Kosto faktike]</f>
        <v>0</v>
      </c>
      <c r="F27" s="9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Table3213345576981[Kosto e parashikuar]-Table3213345576981[Kosto faktike]</f>
        <v>0</v>
      </c>
      <c r="F28" s="9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Table3213345576981[Kosto e parashikuar]-Table3213345576981[Kosto faktike]</f>
        <v>0</v>
      </c>
      <c r="F29" s="9"/>
      <c r="G29" s="5" t="s">
        <v>4</v>
      </c>
      <c r="H29" s="25"/>
      <c r="I29" s="25"/>
      <c r="J29" s="26">
        <f>Table9203244566880[Kosto e parashikuar]-Table9203244566880[Kosto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Table3213345576981[Kosto e parashikuar]-Table3213345576981[Kosto faktike]</f>
        <v>0</v>
      </c>
      <c r="F30" s="9"/>
      <c r="G30" s="5" t="s">
        <v>3</v>
      </c>
      <c r="H30" s="25"/>
      <c r="I30" s="25"/>
      <c r="J30" s="26">
        <f>Table9203244566880[Kosto e parashikuar]-Table9203244566880[Kosto faktike]</f>
        <v>0</v>
      </c>
    </row>
    <row r="31" spans="1:10" ht="15.75" customHeight="1" x14ac:dyDescent="0.2">
      <c r="A31" s="4"/>
      <c r="B31" s="24" t="s">
        <v>0</v>
      </c>
      <c r="C31" s="32">
        <f>SUBTOTAL(109,Table3213345576981[Kosto e parashikuar])</f>
        <v>250</v>
      </c>
      <c r="D31" s="32">
        <f>SUBTOTAL(109,Table3213345576981[Kosto faktike])</f>
        <v>250</v>
      </c>
      <c r="E31" s="33">
        <f>SUBTOTAL(109,Table3213345576981[Diferenca])</f>
        <v>0</v>
      </c>
      <c r="F31" s="9"/>
      <c r="G31" s="5" t="s">
        <v>2</v>
      </c>
      <c r="H31" s="25"/>
      <c r="I31" s="25"/>
      <c r="J31" s="26">
        <f>Table9203244566880[Kosto e parashikuar]-Table9203244566880[Kosto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9"/>
      <c r="G32" s="5" t="s">
        <v>1</v>
      </c>
      <c r="H32" s="25"/>
      <c r="I32" s="25"/>
      <c r="J32" s="26">
        <f>Table9203244566880[Kosto e parashikuar]-Table9203244566880[Kosto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9"/>
      <c r="G33" s="24" t="s">
        <v>0</v>
      </c>
      <c r="H33" s="32">
        <f>SUBTOTAL(109,Table9203244566880[Kosto e parashikuar])</f>
        <v>0</v>
      </c>
      <c r="I33" s="32">
        <f>SUBTOTAL(109,Table9203244566880[Kosto faktike])</f>
        <v>0</v>
      </c>
      <c r="J33" s="33">
        <f>SUBTOTAL(109,Table9203244566880[Diferenca])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Table4152739516375[Kosto e parashikuar]-Table4152739516375[Kosto faktike]</f>
        <v>0</v>
      </c>
      <c r="F34" s="9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Table4152739516375[Kosto e parashikuar]-Table4152739516375[Kosto faktike]</f>
        <v>0</v>
      </c>
      <c r="F35" s="9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Table4152739516375[Kosto e parashikuar]-Table4152739516375[Kosto faktike]</f>
        <v>0</v>
      </c>
      <c r="F36" s="9"/>
      <c r="G36" s="5" t="s">
        <v>43</v>
      </c>
      <c r="H36" s="25"/>
      <c r="I36" s="25"/>
      <c r="J36" s="26">
        <f>Table10233547597183[Kosto e parashikuar]-Table10233547597183[Kosto faktike]</f>
        <v>0</v>
      </c>
    </row>
    <row r="37" spans="1:10" ht="15.75" customHeight="1" x14ac:dyDescent="0.2">
      <c r="A37" s="4"/>
      <c r="B37" s="24" t="s">
        <v>0</v>
      </c>
      <c r="C37" s="32">
        <f>SUBTOTAL(109,Table4152739516375[Kosto e parashikuar])</f>
        <v>0</v>
      </c>
      <c r="D37" s="32">
        <f>SUBTOTAL(109,Table4152739516375[Kosto faktike])</f>
        <v>0</v>
      </c>
      <c r="E37" s="33">
        <f>SUBTOTAL(109,Table4152739516375[Diferenca])</f>
        <v>0</v>
      </c>
      <c r="F37" s="9"/>
      <c r="G37" s="5" t="s">
        <v>42</v>
      </c>
      <c r="H37" s="25"/>
      <c r="I37" s="25"/>
      <c r="J37" s="26">
        <f>Table10233547597183[Kosto e parashikuar]-Table10233547597183[Kosto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9"/>
      <c r="G38" s="5" t="s">
        <v>25</v>
      </c>
      <c r="H38" s="25"/>
      <c r="I38" s="25"/>
      <c r="J38" s="26">
        <f>Table10233547597183[Kosto e parashikuar]-Table10233547597183[Kosto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9"/>
      <c r="G39" s="24" t="s">
        <v>0</v>
      </c>
      <c r="H39" s="32">
        <f>SUBTOTAL(109,Table10233547597183[Kosto e parashikuar])</f>
        <v>0</v>
      </c>
      <c r="I39" s="32">
        <f>SUBTOTAL(109,Table10233547597183[Kosto faktike])</f>
        <v>0</v>
      </c>
      <c r="J39" s="33">
        <f>SUBTOTAL(109,Table10233547597183[Diferenca])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Table5193143556779[Kosto e parashikuar]-Table5193143556779[Kosto faktike]</f>
        <v>0</v>
      </c>
      <c r="F40" s="9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Table5193143556779[Kosto e parashikuar]-Table5193143556779[Kosto faktike]</f>
        <v>0</v>
      </c>
      <c r="F41" s="9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Table5193143556779[Kosto e parashikuar]-Table5193143556779[Kosto faktike]</f>
        <v>0</v>
      </c>
      <c r="F42" s="9"/>
      <c r="G42" s="5"/>
      <c r="H42" s="25"/>
      <c r="I42" s="25"/>
      <c r="J42" s="26">
        <f>Table11183042546678[Kosto e parashikuar]-Table11183042546678[Kosto faktike]</f>
        <v>0</v>
      </c>
    </row>
    <row r="43" spans="1:10" ht="15.75" customHeight="1" x14ac:dyDescent="0.2">
      <c r="A43" s="4"/>
      <c r="B43" s="24" t="s">
        <v>0</v>
      </c>
      <c r="C43" s="32">
        <f>SUBTOTAL(109,Table5193143556779[Kosto e parashikuar])</f>
        <v>0</v>
      </c>
      <c r="D43" s="32">
        <f>SUBTOTAL(109,Table5193143556779[Kosto faktike])</f>
        <v>0</v>
      </c>
      <c r="E43" s="33">
        <f>SUBTOTAL(109,Table5193143556779[Diferenca])</f>
        <v>0</v>
      </c>
      <c r="F43" s="9"/>
      <c r="G43" s="5"/>
      <c r="H43" s="25"/>
      <c r="I43" s="25"/>
      <c r="J43" s="26">
        <f>Table11183042546678[Kosto e parashikuar]-Table11183042546678[Kosto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9"/>
      <c r="G44" s="5"/>
      <c r="H44" s="25"/>
      <c r="I44" s="25"/>
      <c r="J44" s="26">
        <f>Table11183042546678[Kosto e parashikuar]-Table11183042546678[Kosto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9"/>
      <c r="G45" s="24" t="s">
        <v>0</v>
      </c>
      <c r="H45" s="32">
        <f>SUBTOTAL(109,Table11183042546678[Kosto e parashikuar])</f>
        <v>0</v>
      </c>
      <c r="I45" s="32">
        <f>SUBTOTAL(109,Table11183042546678[Kosto faktike])</f>
        <v>0</v>
      </c>
      <c r="J45" s="33">
        <f>SUBTOTAL(109,Table11183042546678[Diferenca])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Table6172941536577[Kosto e parashikuar]-Table6172941536577[Kosto faktike]</f>
        <v>0</v>
      </c>
      <c r="F46" s="9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Table6172941536577[Kosto e parashikuar]-Table6172941536577[Kosto faktike]</f>
        <v>0</v>
      </c>
      <c r="F47" s="9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Table6172941536577[Kosto e parashikuar]-Table6172941536577[Kosto faktike]</f>
        <v>0</v>
      </c>
      <c r="F48" s="9"/>
      <c r="G48" s="5"/>
      <c r="H48" s="25"/>
      <c r="I48" s="25"/>
      <c r="J48" s="26">
        <f>Table12162840526476[Kosto e parashikuar]-Table12162840526476[Kosto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Table6172941536577[Kosto e parashikuar]-Table6172941536577[Kosto faktike]</f>
        <v>0</v>
      </c>
      <c r="F49" s="9"/>
      <c r="G49" s="5"/>
      <c r="H49" s="25"/>
      <c r="I49" s="25"/>
      <c r="J49" s="26">
        <f>Table12162840526476[Kosto e parashikuar]-Table12162840526476[Kosto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Table6172941536577[Kosto e parashikuar]-Table6172941536577[Kosto faktike]</f>
        <v>0</v>
      </c>
      <c r="F50" s="9"/>
      <c r="G50" s="5"/>
      <c r="H50" s="25"/>
      <c r="I50" s="25"/>
      <c r="J50" s="26">
        <f>Table12162840526476[Kosto e parashikuar]-Table12162840526476[Kosto faktike]</f>
        <v>0</v>
      </c>
    </row>
    <row r="51" spans="1:10" ht="15.75" customHeight="1" x14ac:dyDescent="0.2">
      <c r="A51" s="4"/>
      <c r="B51" s="24" t="s">
        <v>0</v>
      </c>
      <c r="C51" s="32">
        <f>SUBTOTAL(109,Table6172941536577[Kosto e parashikuar])</f>
        <v>0</v>
      </c>
      <c r="D51" s="32">
        <f>SUBTOTAL(109,Table6172941536577[Kosto faktike])</f>
        <v>0</v>
      </c>
      <c r="E51" s="33">
        <f>SUBTOTAL(109,Table6172941536577[Diferenca])</f>
        <v>0</v>
      </c>
      <c r="F51" s="9"/>
      <c r="G51" s="5"/>
      <c r="H51" s="25"/>
      <c r="I51" s="25"/>
      <c r="J51" s="26">
        <f>Table12162840526476[Kosto e parashikuar]-Table12162840526476[Kosto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9"/>
      <c r="G52" s="24" t="s">
        <v>0</v>
      </c>
      <c r="H52" s="32">
        <f>SUBTOTAL(109,Table12162840526476[Kosto e parashikuar])</f>
        <v>0</v>
      </c>
      <c r="I52" s="32">
        <f>SUBTOTAL(109,Table12162840526476[Kosto faktike])</f>
        <v>0</v>
      </c>
      <c r="J52" s="33">
        <f>SUBTOTAL(109,Table12162840526476[Diferenca])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9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Table7243648607284[Kosto e parashikuar]-Table7243648607284[Kosto faktike]</f>
        <v>0</v>
      </c>
      <c r="F54" s="9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Table7243648607284[Kosto e parashikuar]-Table7243648607284[Kosto faktike]</f>
        <v>0</v>
      </c>
      <c r="F55" s="9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Table7243648607284[Kosto e parashikuar]-Table7243648607284[Kosto faktike]</f>
        <v>0</v>
      </c>
      <c r="F56" s="9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Table7243648607284[Kosto e parashikuar]-Table7243648607284[Kosto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Table7243648607284[Kosto e parashikuar]-Table7243648607284[Kosto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SUBTOTAL(109,Table7243648607284[Kosto e parashikuar])</f>
        <v>0</v>
      </c>
      <c r="D59" s="32">
        <f>SUBTOTAL(109,Table7243648607284[Kosto faktike])</f>
        <v>0</v>
      </c>
      <c r="E59" s="33">
        <f>SUBTOTAL(109,Table7243648607284[Diferenca])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G56:I57"/>
    <mergeCell ref="J56:J57"/>
    <mergeCell ref="G58:I59"/>
    <mergeCell ref="J58:J59"/>
    <mergeCell ref="G40:J40"/>
    <mergeCell ref="B44:E44"/>
    <mergeCell ref="G46:J46"/>
    <mergeCell ref="B52:E52"/>
    <mergeCell ref="G53:J53"/>
    <mergeCell ref="G54:I55"/>
    <mergeCell ref="J54:J55"/>
    <mergeCell ref="G18:J18"/>
    <mergeCell ref="B22:E22"/>
    <mergeCell ref="G27:J27"/>
    <mergeCell ref="B32:E32"/>
    <mergeCell ref="G34:J34"/>
    <mergeCell ref="B38:E38"/>
    <mergeCell ref="B7:B9"/>
    <mergeCell ref="C7:D7"/>
    <mergeCell ref="C8:D8"/>
    <mergeCell ref="G8:I9"/>
    <mergeCell ref="J8:J9"/>
    <mergeCell ref="C9:D9"/>
    <mergeCell ref="B2:J2"/>
    <mergeCell ref="B3:D3"/>
    <mergeCell ref="B4:B6"/>
    <mergeCell ref="C4:D4"/>
    <mergeCell ref="G4:I5"/>
    <mergeCell ref="J4:J5"/>
    <mergeCell ref="C5:D5"/>
    <mergeCell ref="C6:D6"/>
    <mergeCell ref="G6:I7"/>
    <mergeCell ref="J6:J7"/>
  </mergeCells>
  <conditionalFormatting sqref="E40:E43 J20:J26 E24:E31 E12:E21 E34:E37 E46:E51 E54:E59 J12:J17 J29:J33 J36:J39 J42:J45 J48:J52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zoomScale="98" zoomScaleNormal="98" workbookViewId="0">
      <selection activeCell="G18" sqref="G18:J18"/>
    </sheetView>
  </sheetViews>
  <sheetFormatPr defaultRowHeight="12.75" x14ac:dyDescent="0.2"/>
  <cols>
    <col min="1" max="1" width="1.7109375" style="1" customWidth="1"/>
    <col min="2" max="2" width="30.140625" style="1" customWidth="1"/>
    <col min="3" max="3" width="16.5703125" style="1" customWidth="1"/>
    <col min="4" max="4" width="13.42578125" style="1" customWidth="1"/>
    <col min="5" max="5" width="12.5703125" style="1" customWidth="1"/>
    <col min="6" max="6" width="2.85546875" style="1" customWidth="1"/>
    <col min="7" max="7" width="29.28515625" style="1" customWidth="1"/>
    <col min="8" max="8" width="16.5703125" style="1" customWidth="1"/>
    <col min="9" max="9" width="13.42578125" style="1" customWidth="1"/>
    <col min="10" max="10" width="12.5703125" style="1" customWidth="1"/>
    <col min="11" max="16384" width="9.140625" style="1"/>
  </cols>
  <sheetData>
    <row r="1" spans="1:10" ht="8.1" customHeight="1" x14ac:dyDescent="0.6">
      <c r="A1" s="22"/>
      <c r="B1" s="23"/>
      <c r="C1" s="23"/>
      <c r="D1" s="23"/>
      <c r="E1" s="23"/>
      <c r="F1" s="23"/>
      <c r="G1" s="23"/>
      <c r="H1" s="23"/>
      <c r="I1" s="23"/>
      <c r="J1" s="4"/>
    </row>
    <row r="2" spans="1:10" ht="51.95" customHeight="1" x14ac:dyDescent="0.2">
      <c r="A2" s="22"/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1:10" ht="8.1" customHeight="1" x14ac:dyDescent="0.2">
      <c r="A3" s="4"/>
      <c r="B3" s="48"/>
      <c r="C3" s="48"/>
      <c r="D3" s="48"/>
      <c r="E3" s="20"/>
      <c r="F3" s="13"/>
      <c r="G3" s="20"/>
      <c r="H3" s="19"/>
      <c r="I3" s="18"/>
      <c r="J3" s="17"/>
    </row>
    <row r="4" spans="1:10" ht="15.95" customHeight="1" x14ac:dyDescent="0.2">
      <c r="A4" s="4"/>
      <c r="B4" s="45" t="s">
        <v>7</v>
      </c>
      <c r="C4" s="43" t="s">
        <v>9</v>
      </c>
      <c r="D4" s="44"/>
      <c r="E4" s="28">
        <v>2500</v>
      </c>
      <c r="F4" s="13"/>
      <c r="G4" s="50" t="s">
        <v>15</v>
      </c>
      <c r="H4" s="39"/>
      <c r="I4" s="39"/>
      <c r="J4" s="40">
        <f>E6-J54</f>
        <v>940</v>
      </c>
    </row>
    <row r="5" spans="1:10" ht="15.95" customHeight="1" x14ac:dyDescent="0.2">
      <c r="A5" s="4"/>
      <c r="B5" s="46"/>
      <c r="C5" s="43" t="s">
        <v>11</v>
      </c>
      <c r="D5" s="44"/>
      <c r="E5" s="28">
        <v>500</v>
      </c>
      <c r="F5" s="13"/>
      <c r="G5" s="39"/>
      <c r="H5" s="39"/>
      <c r="I5" s="39"/>
      <c r="J5" s="40"/>
    </row>
    <row r="6" spans="1:10" ht="15.95" customHeight="1" x14ac:dyDescent="0.2">
      <c r="A6" s="4"/>
      <c r="B6" s="47"/>
      <c r="C6" s="41" t="s">
        <v>10</v>
      </c>
      <c r="D6" s="42"/>
      <c r="E6" s="30">
        <f>SUM(E4:E5)</f>
        <v>3000</v>
      </c>
      <c r="F6" s="13"/>
      <c r="G6" s="49" t="s">
        <v>16</v>
      </c>
      <c r="H6" s="49"/>
      <c r="I6" s="49"/>
      <c r="J6" s="51">
        <f>E9-J56</f>
        <v>960</v>
      </c>
    </row>
    <row r="7" spans="1:10" ht="15.95" customHeight="1" x14ac:dyDescent="0.2">
      <c r="A7" s="4"/>
      <c r="B7" s="45" t="s">
        <v>8</v>
      </c>
      <c r="C7" s="43" t="s">
        <v>9</v>
      </c>
      <c r="D7" s="44"/>
      <c r="E7" s="28">
        <v>2500</v>
      </c>
      <c r="F7" s="13"/>
      <c r="G7" s="49"/>
      <c r="H7" s="49"/>
      <c r="I7" s="49"/>
      <c r="J7" s="51"/>
    </row>
    <row r="8" spans="1:10" ht="15.95" customHeight="1" x14ac:dyDescent="0.2">
      <c r="A8" s="4"/>
      <c r="B8" s="46"/>
      <c r="C8" s="43" t="s">
        <v>11</v>
      </c>
      <c r="D8" s="44"/>
      <c r="E8" s="28">
        <v>500</v>
      </c>
      <c r="F8" s="13"/>
      <c r="G8" s="39" t="s">
        <v>18</v>
      </c>
      <c r="H8" s="39"/>
      <c r="I8" s="39"/>
      <c r="J8" s="40">
        <f>J6-J4</f>
        <v>20</v>
      </c>
    </row>
    <row r="9" spans="1:10" ht="15.95" customHeight="1" x14ac:dyDescent="0.2">
      <c r="A9" s="4"/>
      <c r="B9" s="47"/>
      <c r="C9" s="41" t="s">
        <v>10</v>
      </c>
      <c r="D9" s="42"/>
      <c r="E9" s="30">
        <f>SUM(E7:E8)</f>
        <v>3000</v>
      </c>
      <c r="F9" s="13"/>
      <c r="G9" s="39"/>
      <c r="H9" s="39"/>
      <c r="I9" s="39"/>
      <c r="J9" s="40"/>
    </row>
    <row r="10" spans="1:10" ht="15.95" customHeight="1" x14ac:dyDescent="0.2">
      <c r="A10" s="4"/>
      <c r="B10" s="21"/>
      <c r="C10" s="21"/>
      <c r="D10" s="15"/>
      <c r="E10" s="14"/>
      <c r="F10" s="13"/>
      <c r="G10" s="12"/>
      <c r="H10" s="12"/>
      <c r="I10" s="12"/>
      <c r="J10" s="11"/>
    </row>
    <row r="11" spans="1:10" ht="15.95" customHeight="1" x14ac:dyDescent="0.2">
      <c r="A11" s="4"/>
      <c r="B11" s="3" t="s">
        <v>12</v>
      </c>
      <c r="C11" s="8" t="s">
        <v>13</v>
      </c>
      <c r="D11" s="8" t="s">
        <v>14</v>
      </c>
      <c r="E11" s="7" t="s">
        <v>17</v>
      </c>
      <c r="F11" s="10"/>
      <c r="G11" s="3" t="s">
        <v>61</v>
      </c>
      <c r="H11" s="8" t="s">
        <v>13</v>
      </c>
      <c r="I11" s="8" t="s">
        <v>14</v>
      </c>
      <c r="J11" s="7" t="s">
        <v>17</v>
      </c>
    </row>
    <row r="12" spans="1:10" ht="15.75" customHeight="1" x14ac:dyDescent="0.2">
      <c r="A12" s="4"/>
      <c r="B12" s="5" t="s">
        <v>19</v>
      </c>
      <c r="C12" s="25">
        <v>1500</v>
      </c>
      <c r="D12" s="25">
        <v>1400</v>
      </c>
      <c r="E12" s="26">
        <f>Table114263850627486[Kosto e parashikuar]-Table114263850627486[Kosto faktike]</f>
        <v>100</v>
      </c>
      <c r="F12" s="9"/>
      <c r="G12" s="5" t="s">
        <v>26</v>
      </c>
      <c r="H12" s="25">
        <v>0</v>
      </c>
      <c r="I12" s="25">
        <v>50</v>
      </c>
      <c r="J12" s="26">
        <f>Table225374961738597[Kosto e parashikuar]-Table225374961738597[Kosto faktike]</f>
        <v>-50</v>
      </c>
    </row>
    <row r="13" spans="1:10" ht="15.75" customHeight="1" x14ac:dyDescent="0.2">
      <c r="A13" s="4"/>
      <c r="B13" s="5" t="s">
        <v>20</v>
      </c>
      <c r="C13" s="25">
        <v>60</v>
      </c>
      <c r="D13" s="25">
        <v>100</v>
      </c>
      <c r="E13" s="26">
        <f>Table114263850627486[Kosto e parashikuar]-Table114263850627486[Kosto faktike]</f>
        <v>-40</v>
      </c>
      <c r="F13" s="9"/>
      <c r="G13" s="5" t="s">
        <v>27</v>
      </c>
      <c r="H13" s="25"/>
      <c r="I13" s="25"/>
      <c r="J13" s="26">
        <f>Table225374961738597[Kosto e parashikuar]-Table225374961738597[Kosto faktike]</f>
        <v>0</v>
      </c>
    </row>
    <row r="14" spans="1:10" ht="15.75" customHeight="1" x14ac:dyDescent="0.2">
      <c r="A14" s="4"/>
      <c r="B14" s="5" t="s">
        <v>21</v>
      </c>
      <c r="C14" s="25">
        <v>50</v>
      </c>
      <c r="D14" s="25">
        <v>60</v>
      </c>
      <c r="E14" s="26">
        <f>Table114263850627486[Kosto e parashikuar]-Table114263850627486[Kosto faktike]</f>
        <v>-10</v>
      </c>
      <c r="F14" s="9"/>
      <c r="G14" s="5" t="s">
        <v>28</v>
      </c>
      <c r="H14" s="25"/>
      <c r="I14" s="25"/>
      <c r="J14" s="26">
        <f>Table225374961738597[Kosto e parashikuar]-Table225374961738597[Kosto faktike]</f>
        <v>0</v>
      </c>
    </row>
    <row r="15" spans="1:10" ht="15.75" customHeight="1" x14ac:dyDescent="0.2">
      <c r="A15" s="4"/>
      <c r="B15" s="5" t="s">
        <v>5</v>
      </c>
      <c r="C15" s="25">
        <v>200</v>
      </c>
      <c r="D15" s="25">
        <v>180</v>
      </c>
      <c r="E15" s="26">
        <f>Table114263850627486[Kosto e parashikuar]-Table114263850627486[Kosto faktike]</f>
        <v>20</v>
      </c>
      <c r="F15" s="9"/>
      <c r="G15" s="5" t="s">
        <v>29</v>
      </c>
      <c r="H15" s="25"/>
      <c r="I15" s="25"/>
      <c r="J15" s="26">
        <f>Table225374961738597[Kosto e parashikuar]-Table225374961738597[Kosto faktike]</f>
        <v>0</v>
      </c>
    </row>
    <row r="16" spans="1:10" ht="15.75" customHeight="1" x14ac:dyDescent="0.2">
      <c r="A16" s="4"/>
      <c r="B16" s="5" t="s">
        <v>22</v>
      </c>
      <c r="C16" s="25"/>
      <c r="D16" s="25"/>
      <c r="E16" s="26">
        <f>Table114263850627486[Kosto e parashikuar]-Table114263850627486[Kosto faktike]</f>
        <v>0</v>
      </c>
      <c r="F16" s="9"/>
      <c r="G16" s="5" t="s">
        <v>25</v>
      </c>
      <c r="H16" s="25"/>
      <c r="I16" s="25"/>
      <c r="J16" s="26">
        <f>Table225374961738597[Kosto e parashikuar]-Table225374961738597[Kosto faktike]</f>
        <v>0</v>
      </c>
    </row>
    <row r="17" spans="1:10" ht="15.75" customHeight="1" x14ac:dyDescent="0.2">
      <c r="A17" s="4"/>
      <c r="B17" s="5" t="s">
        <v>23</v>
      </c>
      <c r="C17" s="25"/>
      <c r="D17" s="25"/>
      <c r="E17" s="26">
        <f>Table114263850627486[Kosto e parashikuar]-Table114263850627486[Kosto faktike]</f>
        <v>0</v>
      </c>
      <c r="F17" s="9"/>
      <c r="G17" s="24" t="s">
        <v>0</v>
      </c>
      <c r="H17" s="31">
        <f>SUBTOTAL(109,Table225374961738597[Kosto e parashikuar])</f>
        <v>0</v>
      </c>
      <c r="I17" s="32">
        <f>SUBTOTAL(109,Table225374961738597[Kosto faktike])</f>
        <v>50</v>
      </c>
      <c r="J17" s="33">
        <f>SUBTOTAL(109,Table225374961738597[Diferenca])</f>
        <v>-50</v>
      </c>
    </row>
    <row r="18" spans="1:10" ht="15.75" customHeight="1" x14ac:dyDescent="0.2">
      <c r="A18" s="4"/>
      <c r="B18" s="5" t="s">
        <v>24</v>
      </c>
      <c r="C18" s="25"/>
      <c r="D18" s="25"/>
      <c r="E18" s="26">
        <f>Table114263850627486[Kosto e parashikuar]-Table114263850627486[Kosto faktike]</f>
        <v>0</v>
      </c>
      <c r="F18" s="9"/>
      <c r="G18" s="36"/>
      <c r="H18" s="36"/>
      <c r="I18" s="36"/>
      <c r="J18" s="36"/>
    </row>
    <row r="19" spans="1:10" ht="15.75" customHeight="1" x14ac:dyDescent="0.2">
      <c r="A19" s="4"/>
      <c r="B19" s="5" t="s">
        <v>62</v>
      </c>
      <c r="C19" s="25"/>
      <c r="D19" s="25"/>
      <c r="E19" s="26">
        <f>Table114263850627486[Kosto e parashikuar]-Table114263850627486[Kosto faktike]</f>
        <v>0</v>
      </c>
      <c r="F19" s="9"/>
      <c r="G19" s="3" t="s">
        <v>30</v>
      </c>
      <c r="H19" s="8" t="s">
        <v>13</v>
      </c>
      <c r="I19" s="8" t="s">
        <v>14</v>
      </c>
      <c r="J19" s="7" t="s">
        <v>17</v>
      </c>
    </row>
    <row r="20" spans="1:10" ht="15.75" customHeight="1" x14ac:dyDescent="0.2">
      <c r="A20" s="4"/>
      <c r="B20" s="5" t="s">
        <v>25</v>
      </c>
      <c r="C20" s="25"/>
      <c r="D20" s="25"/>
      <c r="E20" s="26">
        <f>Table114263850627486[Kosto e parashikuar]-Table114263850627486[Kosto faktike]</f>
        <v>0</v>
      </c>
      <c r="F20" s="9"/>
      <c r="G20" s="5" t="s">
        <v>31</v>
      </c>
      <c r="H20" s="25"/>
      <c r="I20" s="25"/>
      <c r="J20" s="26">
        <f>Table822344658708294[Kosto e parashikuar]-Table822344658708294[Kosto faktike]</f>
        <v>0</v>
      </c>
    </row>
    <row r="21" spans="1:10" ht="15.75" customHeight="1" x14ac:dyDescent="0.2">
      <c r="A21" s="4"/>
      <c r="B21" s="3" t="s">
        <v>0</v>
      </c>
      <c r="C21" s="25">
        <f>SUBTOTAL(109,Table114263850627486[Kosto e parashikuar])</f>
        <v>1810</v>
      </c>
      <c r="D21" s="25">
        <f>SUBTOTAL(109,Table114263850627486[Kosto faktike])</f>
        <v>1740</v>
      </c>
      <c r="E21" s="27">
        <f>SUBTOTAL(109,Table114263850627486[Diferenca])</f>
        <v>70</v>
      </c>
      <c r="F21" s="9"/>
      <c r="G21" s="5" t="s">
        <v>32</v>
      </c>
      <c r="H21" s="25"/>
      <c r="I21" s="25"/>
      <c r="J21" s="26">
        <f>Table822344658708294[Kosto e parashikuar]-Table822344658708294[Kosto faktike]</f>
        <v>0</v>
      </c>
    </row>
    <row r="22" spans="1:10" ht="15.75" customHeight="1" x14ac:dyDescent="0.2">
      <c r="A22" s="4"/>
      <c r="B22" s="35"/>
      <c r="C22" s="35"/>
      <c r="D22" s="35"/>
      <c r="E22" s="35"/>
      <c r="F22" s="9"/>
      <c r="G22" s="5" t="s">
        <v>33</v>
      </c>
      <c r="H22" s="25"/>
      <c r="I22" s="25"/>
      <c r="J22" s="26">
        <f>Table822344658708294[Kosto e parashikuar]-Table822344658708294[Kosto faktike]</f>
        <v>0</v>
      </c>
    </row>
    <row r="23" spans="1:10" ht="15.75" customHeight="1" x14ac:dyDescent="0.2">
      <c r="A23" s="4"/>
      <c r="B23" s="3" t="s">
        <v>34</v>
      </c>
      <c r="C23" s="8" t="s">
        <v>13</v>
      </c>
      <c r="D23" s="8" t="s">
        <v>14</v>
      </c>
      <c r="E23" s="7" t="s">
        <v>17</v>
      </c>
      <c r="F23" s="9"/>
      <c r="G23" s="5" t="s">
        <v>33</v>
      </c>
      <c r="H23" s="25"/>
      <c r="I23" s="25"/>
      <c r="J23" s="26">
        <f>Table822344658708294[Kosto e parashikuar]-Table822344658708294[Kosto faktike]</f>
        <v>0</v>
      </c>
    </row>
    <row r="24" spans="1:10" ht="15.75" customHeight="1" x14ac:dyDescent="0.2">
      <c r="A24" s="4"/>
      <c r="B24" s="5" t="s">
        <v>35</v>
      </c>
      <c r="C24" s="25">
        <v>250</v>
      </c>
      <c r="D24" s="25">
        <v>250</v>
      </c>
      <c r="E24" s="26">
        <f>Table321334557698193[Kosto e parashikuar]-Table321334557698193[Kosto faktike]</f>
        <v>0</v>
      </c>
      <c r="F24" s="9"/>
      <c r="G24" s="5" t="s">
        <v>33</v>
      </c>
      <c r="H24" s="25"/>
      <c r="I24" s="25"/>
      <c r="J24" s="26">
        <f>Table822344658708294[Kosto e parashikuar]-Table822344658708294[Kosto faktike]</f>
        <v>0</v>
      </c>
    </row>
    <row r="25" spans="1:10" ht="15.75" customHeight="1" x14ac:dyDescent="0.2">
      <c r="A25" s="4"/>
      <c r="B25" s="5" t="s">
        <v>36</v>
      </c>
      <c r="C25" s="25"/>
      <c r="D25" s="25"/>
      <c r="E25" s="26">
        <f>Table321334557698193[Kosto e parashikuar]-Table321334557698193[Kosto faktike]</f>
        <v>0</v>
      </c>
      <c r="F25" s="9"/>
      <c r="G25" s="5" t="s">
        <v>25</v>
      </c>
      <c r="H25" s="25"/>
      <c r="I25" s="25"/>
      <c r="J25" s="26">
        <f>Table822344658708294[Kosto e parashikuar]-Table822344658708294[Kosto faktike]</f>
        <v>0</v>
      </c>
    </row>
    <row r="26" spans="1:10" ht="15.75" customHeight="1" x14ac:dyDescent="0.2">
      <c r="A26" s="4"/>
      <c r="B26" s="5" t="s">
        <v>37</v>
      </c>
      <c r="C26" s="25"/>
      <c r="D26" s="25"/>
      <c r="E26" s="26">
        <f>Table321334557698193[Kosto e parashikuar]-Table321334557698193[Kosto faktike]</f>
        <v>0</v>
      </c>
      <c r="F26" s="9"/>
      <c r="G26" s="24" t="s">
        <v>0</v>
      </c>
      <c r="H26" s="32">
        <f>SUBTOTAL(109,Table822344658708294[Kosto e parashikuar])</f>
        <v>0</v>
      </c>
      <c r="I26" s="32">
        <f>SUBTOTAL(109,Table822344658708294[Kosto faktike])</f>
        <v>0</v>
      </c>
      <c r="J26" s="33">
        <f>SUBTOTAL(109,Table822344658708294[Diferenca])</f>
        <v>0</v>
      </c>
    </row>
    <row r="27" spans="1:10" ht="15.75" customHeight="1" x14ac:dyDescent="0.2">
      <c r="A27" s="4"/>
      <c r="B27" s="5" t="s">
        <v>38</v>
      </c>
      <c r="C27" s="25"/>
      <c r="D27" s="25"/>
      <c r="E27" s="26">
        <f>Table321334557698193[Kosto e parashikuar]-Table321334557698193[Kosto faktike]</f>
        <v>0</v>
      </c>
      <c r="F27" s="9"/>
      <c r="G27" s="35"/>
      <c r="H27" s="35"/>
      <c r="I27" s="35"/>
      <c r="J27" s="35"/>
    </row>
    <row r="28" spans="1:10" ht="15.75" customHeight="1" x14ac:dyDescent="0.2">
      <c r="A28" s="4"/>
      <c r="B28" s="5" t="s">
        <v>39</v>
      </c>
      <c r="C28" s="25"/>
      <c r="D28" s="25"/>
      <c r="E28" s="26">
        <f>Table321334557698193[Kosto e parashikuar]-Table321334557698193[Kosto faktike]</f>
        <v>0</v>
      </c>
      <c r="F28" s="9"/>
      <c r="G28" s="3" t="s">
        <v>41</v>
      </c>
      <c r="H28" s="8" t="s">
        <v>13</v>
      </c>
      <c r="I28" s="8" t="s">
        <v>14</v>
      </c>
      <c r="J28" s="7" t="s">
        <v>17</v>
      </c>
    </row>
    <row r="29" spans="1:10" ht="15.75" customHeight="1" x14ac:dyDescent="0.2">
      <c r="A29" s="4"/>
      <c r="B29" s="5" t="s">
        <v>40</v>
      </c>
      <c r="C29" s="25"/>
      <c r="D29" s="25"/>
      <c r="E29" s="26">
        <f>Table321334557698193[Kosto e parashikuar]-Table321334557698193[Kosto faktike]</f>
        <v>0</v>
      </c>
      <c r="F29" s="9"/>
      <c r="G29" s="5" t="s">
        <v>4</v>
      </c>
      <c r="H29" s="25"/>
      <c r="I29" s="25"/>
      <c r="J29" s="26">
        <f>Table920324456688092[Kosto e parashikuar]-Table920324456688092[Kosto faktike]</f>
        <v>0</v>
      </c>
    </row>
    <row r="30" spans="1:10" ht="15.75" customHeight="1" x14ac:dyDescent="0.2">
      <c r="A30" s="4"/>
      <c r="B30" s="5" t="s">
        <v>25</v>
      </c>
      <c r="C30" s="25"/>
      <c r="D30" s="25"/>
      <c r="E30" s="26">
        <f>Table321334557698193[Kosto e parashikuar]-Table321334557698193[Kosto faktike]</f>
        <v>0</v>
      </c>
      <c r="F30" s="9"/>
      <c r="G30" s="5" t="s">
        <v>3</v>
      </c>
      <c r="H30" s="25"/>
      <c r="I30" s="25"/>
      <c r="J30" s="26">
        <f>Table920324456688092[Kosto e parashikuar]-Table920324456688092[Kosto faktike]</f>
        <v>0</v>
      </c>
    </row>
    <row r="31" spans="1:10" ht="15.75" customHeight="1" x14ac:dyDescent="0.2">
      <c r="A31" s="4"/>
      <c r="B31" s="24" t="s">
        <v>0</v>
      </c>
      <c r="C31" s="32">
        <f>SUBTOTAL(109,Table321334557698193[Kosto e parashikuar])</f>
        <v>250</v>
      </c>
      <c r="D31" s="32">
        <f>SUBTOTAL(109,Table321334557698193[Kosto faktike])</f>
        <v>250</v>
      </c>
      <c r="E31" s="33">
        <f>SUBTOTAL(109,Table321334557698193[Diferenca])</f>
        <v>0</v>
      </c>
      <c r="F31" s="9"/>
      <c r="G31" s="5" t="s">
        <v>2</v>
      </c>
      <c r="H31" s="25"/>
      <c r="I31" s="25"/>
      <c r="J31" s="26">
        <f>Table920324456688092[Kosto e parashikuar]-Table920324456688092[Kosto faktike]</f>
        <v>0</v>
      </c>
    </row>
    <row r="32" spans="1:10" ht="15.75" customHeight="1" x14ac:dyDescent="0.2">
      <c r="A32" s="4"/>
      <c r="B32" s="35"/>
      <c r="C32" s="35"/>
      <c r="D32" s="35"/>
      <c r="E32" s="35"/>
      <c r="F32" s="9"/>
      <c r="G32" s="5" t="s">
        <v>1</v>
      </c>
      <c r="H32" s="25"/>
      <c r="I32" s="25"/>
      <c r="J32" s="26">
        <f>Table920324456688092[Kosto e parashikuar]-Table920324456688092[Kosto faktike]</f>
        <v>0</v>
      </c>
    </row>
    <row r="33" spans="1:10" ht="15.75" customHeight="1" x14ac:dyDescent="0.2">
      <c r="A33" s="4"/>
      <c r="B33" s="3" t="s">
        <v>37</v>
      </c>
      <c r="C33" s="8" t="s">
        <v>13</v>
      </c>
      <c r="D33" s="8" t="s">
        <v>14</v>
      </c>
      <c r="E33" s="7" t="s">
        <v>17</v>
      </c>
      <c r="F33" s="9"/>
      <c r="G33" s="24" t="s">
        <v>0</v>
      </c>
      <c r="H33" s="32">
        <f>SUBTOTAL(109,Table920324456688092[Kosto e parashikuar])</f>
        <v>0</v>
      </c>
      <c r="I33" s="32">
        <f>SUBTOTAL(109,Table920324456688092[Kosto faktike])</f>
        <v>0</v>
      </c>
      <c r="J33" s="33">
        <f>SUBTOTAL(109,Table920324456688092[Diferenca])</f>
        <v>0</v>
      </c>
    </row>
    <row r="34" spans="1:10" ht="15.75" customHeight="1" x14ac:dyDescent="0.2">
      <c r="A34" s="4"/>
      <c r="B34" s="5" t="s">
        <v>44</v>
      </c>
      <c r="C34" s="25"/>
      <c r="D34" s="25"/>
      <c r="E34" s="26">
        <f>Table415273951637587[Kosto e parashikuar]-Table415273951637587[Kosto faktike]</f>
        <v>0</v>
      </c>
      <c r="F34" s="9"/>
      <c r="G34" s="35"/>
      <c r="H34" s="35"/>
      <c r="I34" s="35"/>
      <c r="J34" s="35"/>
    </row>
    <row r="35" spans="1:10" ht="15.75" customHeight="1" x14ac:dyDescent="0.2">
      <c r="A35" s="4"/>
      <c r="B35" s="5" t="s">
        <v>45</v>
      </c>
      <c r="C35" s="25"/>
      <c r="D35" s="25"/>
      <c r="E35" s="26">
        <f>Table415273951637587[Kosto e parashikuar]-Table415273951637587[Kosto faktike]</f>
        <v>0</v>
      </c>
      <c r="F35" s="9"/>
      <c r="G35" s="3" t="s">
        <v>42</v>
      </c>
      <c r="H35" s="8" t="s">
        <v>13</v>
      </c>
      <c r="I35" s="8" t="s">
        <v>14</v>
      </c>
      <c r="J35" s="7" t="s">
        <v>17</v>
      </c>
    </row>
    <row r="36" spans="1:10" ht="15.75" customHeight="1" x14ac:dyDescent="0.2">
      <c r="A36" s="4"/>
      <c r="B36" s="5" t="s">
        <v>25</v>
      </c>
      <c r="C36" s="25"/>
      <c r="D36" s="25"/>
      <c r="E36" s="26">
        <f>Table415273951637587[Kosto e parashikuar]-Table415273951637587[Kosto faktike]</f>
        <v>0</v>
      </c>
      <c r="F36" s="9"/>
      <c r="G36" s="5" t="s">
        <v>43</v>
      </c>
      <c r="H36" s="25"/>
      <c r="I36" s="25"/>
      <c r="J36" s="26">
        <f>Table1023354759718395[Kosto e parashikuar]-Table1023354759718395[Kosto faktike]</f>
        <v>0</v>
      </c>
    </row>
    <row r="37" spans="1:10" ht="15.75" customHeight="1" x14ac:dyDescent="0.2">
      <c r="A37" s="4"/>
      <c r="B37" s="24" t="s">
        <v>0</v>
      </c>
      <c r="C37" s="32">
        <f>SUBTOTAL(109,Table415273951637587[Kosto e parashikuar])</f>
        <v>0</v>
      </c>
      <c r="D37" s="32">
        <f>SUBTOTAL(109,Table415273951637587[Kosto faktike])</f>
        <v>0</v>
      </c>
      <c r="E37" s="33">
        <f>SUBTOTAL(109,Table415273951637587[Diferenca])</f>
        <v>0</v>
      </c>
      <c r="F37" s="9"/>
      <c r="G37" s="5" t="s">
        <v>42</v>
      </c>
      <c r="H37" s="25"/>
      <c r="I37" s="25"/>
      <c r="J37" s="26">
        <f>Table1023354759718395[Kosto e parashikuar]-Table1023354759718395[Kosto faktike]</f>
        <v>0</v>
      </c>
    </row>
    <row r="38" spans="1:10" ht="15.75" customHeight="1" x14ac:dyDescent="0.2">
      <c r="A38" s="4"/>
      <c r="B38" s="35"/>
      <c r="C38" s="35"/>
      <c r="D38" s="35"/>
      <c r="E38" s="35"/>
      <c r="F38" s="9"/>
      <c r="G38" s="5" t="s">
        <v>25</v>
      </c>
      <c r="H38" s="25"/>
      <c r="I38" s="25"/>
      <c r="J38" s="26">
        <f>Table1023354759718395[Kosto e parashikuar]-Table1023354759718395[Kosto faktike]</f>
        <v>0</v>
      </c>
    </row>
    <row r="39" spans="1:10" ht="15.75" customHeight="1" x14ac:dyDescent="0.2">
      <c r="A39" s="4"/>
      <c r="B39" s="3" t="s">
        <v>46</v>
      </c>
      <c r="C39" s="8" t="s">
        <v>13</v>
      </c>
      <c r="D39" s="8" t="s">
        <v>14</v>
      </c>
      <c r="E39" s="7" t="s">
        <v>17</v>
      </c>
      <c r="F39" s="9"/>
      <c r="G39" s="24" t="s">
        <v>0</v>
      </c>
      <c r="H39" s="32">
        <f>SUBTOTAL(109,Table1023354759718395[Kosto e parashikuar])</f>
        <v>0</v>
      </c>
      <c r="I39" s="32">
        <f>SUBTOTAL(109,Table1023354759718395[Kosto faktike])</f>
        <v>0</v>
      </c>
      <c r="J39" s="33">
        <f>SUBTOTAL(109,Table1023354759718395[Diferenca])</f>
        <v>0</v>
      </c>
    </row>
    <row r="40" spans="1:10" ht="15.75" customHeight="1" x14ac:dyDescent="0.2">
      <c r="A40" s="4"/>
      <c r="B40" s="5" t="s">
        <v>47</v>
      </c>
      <c r="C40" s="25"/>
      <c r="D40" s="25"/>
      <c r="E40" s="26">
        <f>Table519314355677991[Kosto e parashikuar]-Table519314355677991[Kosto faktike]</f>
        <v>0</v>
      </c>
      <c r="F40" s="9"/>
      <c r="G40" s="35"/>
      <c r="H40" s="35"/>
      <c r="I40" s="35"/>
      <c r="J40" s="35"/>
    </row>
    <row r="41" spans="1:10" ht="15.75" customHeight="1" x14ac:dyDescent="0.2">
      <c r="A41" s="4"/>
      <c r="B41" s="5" t="s">
        <v>48</v>
      </c>
      <c r="C41" s="25"/>
      <c r="D41" s="25"/>
      <c r="E41" s="26">
        <f>Table519314355677991[Kosto e parashikuar]-Table519314355677991[Kosto faktike]</f>
        <v>0</v>
      </c>
      <c r="F41" s="9"/>
      <c r="G41" s="3" t="s">
        <v>60</v>
      </c>
      <c r="H41" s="8" t="s">
        <v>13</v>
      </c>
      <c r="I41" s="8" t="s">
        <v>14</v>
      </c>
      <c r="J41" s="7" t="s">
        <v>17</v>
      </c>
    </row>
    <row r="42" spans="1:10" ht="15.75" customHeight="1" x14ac:dyDescent="0.2">
      <c r="A42" s="4"/>
      <c r="B42" s="5" t="s">
        <v>25</v>
      </c>
      <c r="C42" s="25"/>
      <c r="D42" s="25"/>
      <c r="E42" s="26">
        <f>Table519314355677991[Kosto e parashikuar]-Table519314355677991[Kosto faktike]</f>
        <v>0</v>
      </c>
      <c r="F42" s="9"/>
      <c r="G42" s="5"/>
      <c r="H42" s="25"/>
      <c r="I42" s="25"/>
      <c r="J42" s="26">
        <f>Table1118304254667890[Kosto e parashikuar]-Table1118304254667890[Kosto faktike]</f>
        <v>0</v>
      </c>
    </row>
    <row r="43" spans="1:10" ht="15.75" customHeight="1" x14ac:dyDescent="0.2">
      <c r="A43" s="4"/>
      <c r="B43" s="24" t="s">
        <v>0</v>
      </c>
      <c r="C43" s="32">
        <f>SUBTOTAL(109,Table519314355677991[Kosto e parashikuar])</f>
        <v>0</v>
      </c>
      <c r="D43" s="32">
        <f>SUBTOTAL(109,Table519314355677991[Kosto faktike])</f>
        <v>0</v>
      </c>
      <c r="E43" s="33">
        <f>SUBTOTAL(109,Table519314355677991[Diferenca])</f>
        <v>0</v>
      </c>
      <c r="F43" s="9"/>
      <c r="G43" s="5"/>
      <c r="H43" s="25"/>
      <c r="I43" s="25"/>
      <c r="J43" s="26">
        <f>Table1118304254667890[Kosto e parashikuar]-Table1118304254667890[Kosto faktike]</f>
        <v>0</v>
      </c>
    </row>
    <row r="44" spans="1:10" ht="15.75" customHeight="1" x14ac:dyDescent="0.2">
      <c r="A44" s="4"/>
      <c r="B44" s="35"/>
      <c r="C44" s="35"/>
      <c r="D44" s="35"/>
      <c r="E44" s="35"/>
      <c r="F44" s="9"/>
      <c r="G44" s="5"/>
      <c r="H44" s="25"/>
      <c r="I44" s="25"/>
      <c r="J44" s="26">
        <f>Table1118304254667890[Kosto e parashikuar]-Table1118304254667890[Kosto faktike]</f>
        <v>0</v>
      </c>
    </row>
    <row r="45" spans="1:10" ht="15.75" customHeight="1" x14ac:dyDescent="0.2">
      <c r="A45" s="4"/>
      <c r="B45" s="3" t="s">
        <v>49</v>
      </c>
      <c r="C45" s="8" t="s">
        <v>13</v>
      </c>
      <c r="D45" s="8" t="s">
        <v>14</v>
      </c>
      <c r="E45" s="7" t="s">
        <v>17</v>
      </c>
      <c r="F45" s="9"/>
      <c r="G45" s="24" t="s">
        <v>0</v>
      </c>
      <c r="H45" s="32">
        <f>SUBTOTAL(109,Table1118304254667890[Kosto e parashikuar])</f>
        <v>0</v>
      </c>
      <c r="I45" s="32">
        <f>SUBTOTAL(109,Table1118304254667890[Kosto faktike])</f>
        <v>0</v>
      </c>
      <c r="J45" s="33">
        <f>SUBTOTAL(109,Table1118304254667890[Diferenca])</f>
        <v>0</v>
      </c>
    </row>
    <row r="46" spans="1:10" ht="15.75" customHeight="1" x14ac:dyDescent="0.2">
      <c r="A46" s="4"/>
      <c r="B46" s="5" t="s">
        <v>50</v>
      </c>
      <c r="C46" s="25"/>
      <c r="D46" s="25"/>
      <c r="E46" s="26">
        <f>Table617294153657789[Kosto e parashikuar]-Table617294153657789[Kosto faktike]</f>
        <v>0</v>
      </c>
      <c r="F46" s="9"/>
      <c r="G46" s="35"/>
      <c r="H46" s="35"/>
      <c r="I46" s="35"/>
      <c r="J46" s="35"/>
    </row>
    <row r="47" spans="1:10" ht="15.75" customHeight="1" x14ac:dyDescent="0.2">
      <c r="A47" s="4"/>
      <c r="B47" s="5" t="s">
        <v>51</v>
      </c>
      <c r="C47" s="25"/>
      <c r="D47" s="25"/>
      <c r="E47" s="26">
        <f>Table617294153657789[Kosto e parashikuar]-Table617294153657789[Kosto faktike]</f>
        <v>0</v>
      </c>
      <c r="F47" s="9"/>
      <c r="G47" s="3" t="s">
        <v>59</v>
      </c>
      <c r="H47" s="8" t="s">
        <v>13</v>
      </c>
      <c r="I47" s="8" t="s">
        <v>14</v>
      </c>
      <c r="J47" s="7" t="s">
        <v>17</v>
      </c>
    </row>
    <row r="48" spans="1:10" ht="15.75" customHeight="1" x14ac:dyDescent="0.2">
      <c r="A48" s="4"/>
      <c r="B48" s="5" t="s">
        <v>52</v>
      </c>
      <c r="C48" s="25"/>
      <c r="D48" s="25"/>
      <c r="E48" s="26">
        <f>Table617294153657789[Kosto e parashikuar]-Table617294153657789[Kosto faktike]</f>
        <v>0</v>
      </c>
      <c r="F48" s="9"/>
      <c r="G48" s="5"/>
      <c r="H48" s="25"/>
      <c r="I48" s="25"/>
      <c r="J48" s="26">
        <f>Table1216284052647688[Kosto e parashikuar]-Table1216284052647688[Kosto faktike]</f>
        <v>0</v>
      </c>
    </row>
    <row r="49" spans="1:10" ht="15.75" customHeight="1" x14ac:dyDescent="0.2">
      <c r="A49" s="4"/>
      <c r="B49" s="5" t="s">
        <v>53</v>
      </c>
      <c r="C49" s="25"/>
      <c r="D49" s="25"/>
      <c r="E49" s="26">
        <f>Table617294153657789[Kosto e parashikuar]-Table617294153657789[Kosto faktike]</f>
        <v>0</v>
      </c>
      <c r="F49" s="9"/>
      <c r="G49" s="5"/>
      <c r="H49" s="25"/>
      <c r="I49" s="25"/>
      <c r="J49" s="26">
        <f>Table1216284052647688[Kosto e parashikuar]-Table1216284052647688[Kosto faktike]</f>
        <v>0</v>
      </c>
    </row>
    <row r="50" spans="1:10" ht="15.75" customHeight="1" x14ac:dyDescent="0.2">
      <c r="A50" s="4"/>
      <c r="B50" s="5" t="s">
        <v>25</v>
      </c>
      <c r="C50" s="25"/>
      <c r="D50" s="25"/>
      <c r="E50" s="26">
        <f>Table617294153657789[Kosto e parashikuar]-Table617294153657789[Kosto faktike]</f>
        <v>0</v>
      </c>
      <c r="F50" s="9"/>
      <c r="G50" s="5"/>
      <c r="H50" s="25"/>
      <c r="I50" s="25"/>
      <c r="J50" s="26">
        <f>Table1216284052647688[Kosto e parashikuar]-Table1216284052647688[Kosto faktike]</f>
        <v>0</v>
      </c>
    </row>
    <row r="51" spans="1:10" ht="15.75" customHeight="1" x14ac:dyDescent="0.2">
      <c r="A51" s="4"/>
      <c r="B51" s="24" t="s">
        <v>0</v>
      </c>
      <c r="C51" s="32">
        <f>SUBTOTAL(109,Table617294153657789[Kosto e parashikuar])</f>
        <v>0</v>
      </c>
      <c r="D51" s="32">
        <f>SUBTOTAL(109,Table617294153657789[Kosto faktike])</f>
        <v>0</v>
      </c>
      <c r="E51" s="33">
        <f>SUBTOTAL(109,Table617294153657789[Diferenca])</f>
        <v>0</v>
      </c>
      <c r="F51" s="9"/>
      <c r="G51" s="5"/>
      <c r="H51" s="25"/>
      <c r="I51" s="25"/>
      <c r="J51" s="26">
        <f>Table1216284052647688[Kosto e parashikuar]-Table1216284052647688[Kosto faktike]</f>
        <v>0</v>
      </c>
    </row>
    <row r="52" spans="1:10" ht="15.75" customHeight="1" x14ac:dyDescent="0.2">
      <c r="A52" s="4"/>
      <c r="B52" s="35"/>
      <c r="C52" s="35"/>
      <c r="D52" s="35"/>
      <c r="E52" s="35"/>
      <c r="F52" s="9"/>
      <c r="G52" s="24" t="s">
        <v>0</v>
      </c>
      <c r="H52" s="32">
        <f>SUBTOTAL(109,Table1216284052647688[Kosto e parashikuar])</f>
        <v>0</v>
      </c>
      <c r="I52" s="32">
        <f>SUBTOTAL(109,Table1216284052647688[Kosto faktike])</f>
        <v>0</v>
      </c>
      <c r="J52" s="33">
        <f>SUBTOTAL(109,Table1216284052647688[Diferenca])</f>
        <v>0</v>
      </c>
    </row>
    <row r="53" spans="1:10" ht="15.75" customHeight="1" x14ac:dyDescent="0.2">
      <c r="A53" s="4"/>
      <c r="B53" s="3" t="s">
        <v>54</v>
      </c>
      <c r="C53" s="8" t="s">
        <v>13</v>
      </c>
      <c r="D53" s="8" t="s">
        <v>14</v>
      </c>
      <c r="E53" s="7" t="s">
        <v>17</v>
      </c>
      <c r="F53" s="9"/>
      <c r="G53" s="37"/>
      <c r="H53" s="37"/>
      <c r="I53" s="37"/>
      <c r="J53" s="37"/>
    </row>
    <row r="54" spans="1:10" ht="15.75" customHeight="1" x14ac:dyDescent="0.2">
      <c r="A54" s="4"/>
      <c r="B54" s="5" t="s">
        <v>55</v>
      </c>
      <c r="C54" s="25"/>
      <c r="D54" s="25"/>
      <c r="E54" s="26">
        <f>Table724364860728496[Kosto e parashikuar]-Table724364860728496[Kosto faktike]</f>
        <v>0</v>
      </c>
      <c r="F54" s="9"/>
      <c r="G54" s="39" t="s">
        <v>63</v>
      </c>
      <c r="H54" s="39"/>
      <c r="I54" s="39"/>
      <c r="J54" s="40">
        <f>SUM(C21,C31,C37,C43,C51,C59,H17,H26,H33,H39,H45,H52)</f>
        <v>2060</v>
      </c>
    </row>
    <row r="55" spans="1:10" ht="15.75" customHeight="1" x14ac:dyDescent="0.2">
      <c r="A55" s="4"/>
      <c r="B55" s="5" t="s">
        <v>56</v>
      </c>
      <c r="C55" s="25"/>
      <c r="D55" s="25"/>
      <c r="E55" s="26">
        <f>Table724364860728496[Kosto e parashikuar]-Table724364860728496[Kosto faktike]</f>
        <v>0</v>
      </c>
      <c r="F55" s="9"/>
      <c r="G55" s="39"/>
      <c r="H55" s="39"/>
      <c r="I55" s="39"/>
      <c r="J55" s="40"/>
    </row>
    <row r="56" spans="1:10" ht="15.75" customHeight="1" x14ac:dyDescent="0.2">
      <c r="A56" s="4"/>
      <c r="B56" s="5" t="s">
        <v>57</v>
      </c>
      <c r="C56" s="25"/>
      <c r="D56" s="25"/>
      <c r="E56" s="26">
        <f>Table724364860728496[Kosto e parashikuar]-Table724364860728496[Kosto faktike]</f>
        <v>0</v>
      </c>
      <c r="F56" s="9"/>
      <c r="G56" s="39" t="s">
        <v>64</v>
      </c>
      <c r="H56" s="39"/>
      <c r="I56" s="39"/>
      <c r="J56" s="40">
        <f>SUM(D21,D31,D37,D43,D51,D59,I17,I26,I33,I39,I45,I52)</f>
        <v>2040</v>
      </c>
    </row>
    <row r="57" spans="1:10" ht="15.75" customHeight="1" x14ac:dyDescent="0.2">
      <c r="A57" s="4"/>
      <c r="B57" s="5" t="s">
        <v>58</v>
      </c>
      <c r="C57" s="25"/>
      <c r="D57" s="25"/>
      <c r="E57" s="26">
        <f>Table724364860728496[Kosto e parashikuar]-Table724364860728496[Kosto faktike]</f>
        <v>0</v>
      </c>
      <c r="F57" s="2"/>
      <c r="G57" s="39"/>
      <c r="H57" s="39"/>
      <c r="I57" s="39"/>
      <c r="J57" s="40"/>
    </row>
    <row r="58" spans="1:10" ht="15.75" customHeight="1" x14ac:dyDescent="0.2">
      <c r="A58" s="4"/>
      <c r="B58" s="5" t="s">
        <v>25</v>
      </c>
      <c r="C58" s="25"/>
      <c r="D58" s="25"/>
      <c r="E58" s="26">
        <f>Table724364860728496[Kosto e parashikuar]-Table724364860728496[Kosto faktike]</f>
        <v>0</v>
      </c>
      <c r="F58" s="2"/>
      <c r="G58" s="39" t="s">
        <v>65</v>
      </c>
      <c r="H58" s="39"/>
      <c r="I58" s="39"/>
      <c r="J58" s="40">
        <f>J54-J56</f>
        <v>20</v>
      </c>
    </row>
    <row r="59" spans="1:10" ht="15.75" customHeight="1" x14ac:dyDescent="0.2">
      <c r="A59" s="4"/>
      <c r="B59" s="24" t="s">
        <v>0</v>
      </c>
      <c r="C59" s="32">
        <f>SUBTOTAL(109,Table724364860728496[Kosto e parashikuar])</f>
        <v>0</v>
      </c>
      <c r="D59" s="32">
        <f>SUBTOTAL(109,Table724364860728496[Kosto faktike])</f>
        <v>0</v>
      </c>
      <c r="E59" s="33">
        <f>SUBTOTAL(109,Table724364860728496[Diferenca])</f>
        <v>0</v>
      </c>
      <c r="F59" s="2"/>
      <c r="G59" s="39"/>
      <c r="H59" s="39"/>
      <c r="I59" s="39"/>
      <c r="J59" s="40"/>
    </row>
    <row r="60" spans="1:10" ht="15.75" customHeight="1" x14ac:dyDescent="0.2">
      <c r="A60" s="4"/>
      <c r="F60" s="2"/>
    </row>
    <row r="61" spans="1:10" ht="15.75" customHeight="1" x14ac:dyDescent="0.2">
      <c r="A61" s="4"/>
      <c r="F61" s="2"/>
      <c r="J61" s="34"/>
    </row>
    <row r="62" spans="1:10" ht="15.75" customHeight="1" x14ac:dyDescent="0.2">
      <c r="A62" s="4"/>
      <c r="F62" s="2"/>
    </row>
    <row r="63" spans="1:10" ht="15.75" customHeight="1" x14ac:dyDescent="0.2">
      <c r="A63" s="4"/>
      <c r="F63" s="2"/>
    </row>
    <row r="64" spans="1:10" ht="15.75" customHeight="1" x14ac:dyDescent="0.2"/>
  </sheetData>
  <mergeCells count="33">
    <mergeCell ref="G56:I57"/>
    <mergeCell ref="J56:J57"/>
    <mergeCell ref="G58:I59"/>
    <mergeCell ref="J58:J59"/>
    <mergeCell ref="G40:J40"/>
    <mergeCell ref="B44:E44"/>
    <mergeCell ref="G46:J46"/>
    <mergeCell ref="B52:E52"/>
    <mergeCell ref="G53:J53"/>
    <mergeCell ref="G54:I55"/>
    <mergeCell ref="J54:J55"/>
    <mergeCell ref="G18:J18"/>
    <mergeCell ref="B22:E22"/>
    <mergeCell ref="G27:J27"/>
    <mergeCell ref="B32:E32"/>
    <mergeCell ref="G34:J34"/>
    <mergeCell ref="B38:E38"/>
    <mergeCell ref="B7:B9"/>
    <mergeCell ref="C7:D7"/>
    <mergeCell ref="C8:D8"/>
    <mergeCell ref="G8:I9"/>
    <mergeCell ref="J8:J9"/>
    <mergeCell ref="C9:D9"/>
    <mergeCell ref="B2:J2"/>
    <mergeCell ref="B3:D3"/>
    <mergeCell ref="B4:B6"/>
    <mergeCell ref="C4:D4"/>
    <mergeCell ref="G4:I5"/>
    <mergeCell ref="J4:J5"/>
    <mergeCell ref="C5:D5"/>
    <mergeCell ref="C6:D6"/>
    <mergeCell ref="G6:I7"/>
    <mergeCell ref="J6:J7"/>
  </mergeCells>
  <conditionalFormatting sqref="E40:E43 J20:J26 E24:E31 E12:E21 E34:E37 E46:E51 E54:E59 J12:J17 J29:J33 J36:J39 J42:J45 J48:J52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Permbledhese</vt:lpstr>
      <vt:lpstr>Janar 2020</vt:lpstr>
      <vt:lpstr>Shkurt 2020</vt:lpstr>
      <vt:lpstr>Mars 2020</vt:lpstr>
      <vt:lpstr>Prill 2020</vt:lpstr>
      <vt:lpstr>Maj 2020</vt:lpstr>
      <vt:lpstr>Qershor 2020</vt:lpstr>
      <vt:lpstr>Korrik 2020</vt:lpstr>
      <vt:lpstr>Gusht 2020</vt:lpstr>
      <vt:lpstr>Shtator 2020</vt:lpstr>
      <vt:lpstr>Tetor 2020</vt:lpstr>
      <vt:lpstr>Nentor 2020</vt:lpstr>
      <vt:lpstr>Dhjetor 2020</vt:lpstr>
    </vt:vector>
  </TitlesOfParts>
  <Company>Alpha Bank Albania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Nevila I. Xholi</dc:creator>
  <cp:lastModifiedBy>Nevila</cp:lastModifiedBy>
  <dcterms:created xsi:type="dcterms:W3CDTF">2020-01-27T14:51:55Z</dcterms:created>
  <dcterms:modified xsi:type="dcterms:W3CDTF">2020-02-02T10:09:09Z</dcterms:modified>
</cp:coreProperties>
</file>